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506" windowWidth="9210" windowHeight="9120" tabRatio="467" activeTab="5"/>
  </bookViews>
  <sheets>
    <sheet name="расчет ИНП" sheetId="1" r:id="rId1"/>
    <sheet name="ИНП" sheetId="2" r:id="rId2"/>
    <sheet name="ИБР" sheetId="3" r:id="rId3"/>
    <sheet name="БО" sheetId="4" r:id="rId4"/>
    <sheet name="Объем средств" sheetId="5" r:id="rId5"/>
    <sheet name="Дотация" sheetId="6" r:id="rId6"/>
  </sheets>
  <definedNames/>
  <calcPr fullCalcOnLoad="1"/>
</workbook>
</file>

<file path=xl/sharedStrings.xml><?xml version="1.0" encoding="utf-8"?>
<sst xmlns="http://schemas.openxmlformats.org/spreadsheetml/2006/main" count="304" uniqueCount="146">
  <si>
    <t>Поселения</t>
  </si>
  <si>
    <t>Муниципальный район:</t>
  </si>
  <si>
    <t>Итого по МР:</t>
  </si>
  <si>
    <t>Дi</t>
  </si>
  <si>
    <t>№ п/п</t>
  </si>
  <si>
    <t>Субвенция из бюджета поселения в республиканский бюджет</t>
  </si>
  <si>
    <t>Спi</t>
  </si>
  <si>
    <t>Расчет индекса налогового потенциала поселения</t>
  </si>
  <si>
    <t>Численность постоянного населения поселения</t>
  </si>
  <si>
    <t>Налоговый потенциал общий</t>
  </si>
  <si>
    <t>НПi1</t>
  </si>
  <si>
    <t>НПi2</t>
  </si>
  <si>
    <t>НПi3</t>
  </si>
  <si>
    <t>Нпi</t>
  </si>
  <si>
    <t>НДФЛ</t>
  </si>
  <si>
    <t>Земельный налог</t>
  </si>
  <si>
    <t>НИФЛ</t>
  </si>
  <si>
    <t>Налоговый потенциал</t>
  </si>
  <si>
    <t>Дот (П)i</t>
  </si>
  <si>
    <t>ИНПi</t>
  </si>
  <si>
    <t>Индекс налогового потенциала</t>
  </si>
  <si>
    <t>Расчет индекса бюджетных расходов поселения</t>
  </si>
  <si>
    <t>Коэффициенты удорожания</t>
  </si>
  <si>
    <t>дисперсности расселения</t>
  </si>
  <si>
    <t>масштаба</t>
  </si>
  <si>
    <t>урбанизации</t>
  </si>
  <si>
    <t>КМi</t>
  </si>
  <si>
    <t>КДi</t>
  </si>
  <si>
    <t>КУi</t>
  </si>
  <si>
    <t>Муниципальное управление</t>
  </si>
  <si>
    <t>Организация благоустройства</t>
  </si>
  <si>
    <t>Организация библиотечного обслуживания</t>
  </si>
  <si>
    <t>Организация досуга (культура)</t>
  </si>
  <si>
    <t>Развитие массовой физкультуры и спорта</t>
  </si>
  <si>
    <t>Иные вопросы местного значения</t>
  </si>
  <si>
    <t>Скорректированная численность потребителей бюджетных услуг по видам расходов</t>
  </si>
  <si>
    <t>ПКi1</t>
  </si>
  <si>
    <t>ПКi3</t>
  </si>
  <si>
    <t>ПКi4</t>
  </si>
  <si>
    <t>ПКi5</t>
  </si>
  <si>
    <t>ПКi6</t>
  </si>
  <si>
    <t>ПКi7</t>
  </si>
  <si>
    <t>Индекс бюджетных расходов поселения по отдельному виду расходов</t>
  </si>
  <si>
    <t>ИБРi1</t>
  </si>
  <si>
    <t>ИБРi3</t>
  </si>
  <si>
    <t>ИБРi4</t>
  </si>
  <si>
    <t>ИБРi5</t>
  </si>
  <si>
    <t>ИБРi6</t>
  </si>
  <si>
    <t>ИБРi7</t>
  </si>
  <si>
    <t>ФР1</t>
  </si>
  <si>
    <t>ФР3</t>
  </si>
  <si>
    <t>ФР4</t>
  </si>
  <si>
    <t>ФР5</t>
  </si>
  <si>
    <t>ФР6</t>
  </si>
  <si>
    <t>ФР7</t>
  </si>
  <si>
    <t>Доля каждого вида расходов в репрезентативной системе расходов бюджетов поселений</t>
  </si>
  <si>
    <t>а1</t>
  </si>
  <si>
    <t>а3</t>
  </si>
  <si>
    <t>а4</t>
  </si>
  <si>
    <t>а5</t>
  </si>
  <si>
    <t>а6</t>
  </si>
  <si>
    <t>а7</t>
  </si>
  <si>
    <t>Индекс бюджетных расходов поселений</t>
  </si>
  <si>
    <t>ИБРi</t>
  </si>
  <si>
    <t>в том числе:</t>
  </si>
  <si>
    <t>городское</t>
  </si>
  <si>
    <t>проживающее в населенных пунктах &lt; 500 человек</t>
  </si>
  <si>
    <t xml:space="preserve">Бюджетная обеспеченность </t>
  </si>
  <si>
    <t>Расчет бюджетной обеспечнности поселений</t>
  </si>
  <si>
    <t>А</t>
  </si>
  <si>
    <t>БОi</t>
  </si>
  <si>
    <t>К</t>
  </si>
  <si>
    <t>Ni</t>
  </si>
  <si>
    <t>Индекс бюджетных расходов поселения</t>
  </si>
  <si>
    <t>Коэффициент выравнивания уровня бюджетной обеспеченности</t>
  </si>
  <si>
    <t>Бюджетная обеспеченность поселений менее коэффициента</t>
  </si>
  <si>
    <t>Субсидия из бюджета поселения в республиканский бюджет</t>
  </si>
  <si>
    <t>Субвенция на гос полномочия</t>
  </si>
  <si>
    <t>Объем средств, необходимый для доведения до расчетного уровня БО</t>
  </si>
  <si>
    <t>Размер дотации бюджету поселения за счет субвенции</t>
  </si>
  <si>
    <t>С</t>
  </si>
  <si>
    <t>Дотi</t>
  </si>
  <si>
    <t>Объем дотации в расчете на 1 жителя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</si>
  <si>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</si>
  <si>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</si>
  <si>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</si>
  <si>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</si>
  <si>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</si>
  <si>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</si>
  <si>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</si>
  <si>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</si>
  <si>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</si>
  <si>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</si>
  <si>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</si>
  <si>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</si>
  <si>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</si>
  <si>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</si>
  <si>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</si>
  <si>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</si>
  <si>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</si>
  <si>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Единый норматив отчислений в бюджет поселения</t>
  </si>
  <si>
    <t>Фонд оплаты труда в целом по экономике</t>
  </si>
  <si>
    <t>Кадастровая стоимость земельных участков</t>
  </si>
  <si>
    <t>Остаточная стоимость имущества</t>
  </si>
  <si>
    <t>НДФЛ - 10%</t>
  </si>
  <si>
    <t>Земельный налог - 100%</t>
  </si>
  <si>
    <t>НИФЛ - 100%</t>
  </si>
  <si>
    <t>БНi1</t>
  </si>
  <si>
    <t>БНi2</t>
  </si>
  <si>
    <t>БНi3</t>
  </si>
  <si>
    <t>Норм1</t>
  </si>
  <si>
    <t>Норм2</t>
  </si>
  <si>
    <t>Норм3</t>
  </si>
  <si>
    <t>ПД1</t>
  </si>
  <si>
    <t>ПД2</t>
  </si>
  <si>
    <t>ПД3</t>
  </si>
  <si>
    <t xml:space="preserve">Кяхтинский </t>
  </si>
  <si>
    <t xml:space="preserve">СП Алтайское </t>
  </si>
  <si>
    <t xml:space="preserve">СП Большекударинское </t>
  </si>
  <si>
    <t xml:space="preserve">СП Большелугское </t>
  </si>
  <si>
    <t xml:space="preserve">СП Зарянское </t>
  </si>
  <si>
    <t xml:space="preserve">СП Кударинское </t>
  </si>
  <si>
    <t xml:space="preserve">СП Малокударинское </t>
  </si>
  <si>
    <t xml:space="preserve">СП Мурочинское </t>
  </si>
  <si>
    <t xml:space="preserve">СП Первомайское </t>
  </si>
  <si>
    <t xml:space="preserve">СП Субуктуйское </t>
  </si>
  <si>
    <t xml:space="preserve">СП Тамирское </t>
  </si>
  <si>
    <t xml:space="preserve">СП Усть-Кяхтинское </t>
  </si>
  <si>
    <t xml:space="preserve">СП Хоронхойское </t>
  </si>
  <si>
    <t xml:space="preserve">СП Чикойское </t>
  </si>
  <si>
    <t xml:space="preserve">СП Шарагольское </t>
  </si>
  <si>
    <t xml:space="preserve">ГП Город Кяхта </t>
  </si>
  <si>
    <t xml:space="preserve">ГП Наушкинское </t>
  </si>
  <si>
    <t>Дотация из республиканского ФФПП за 2012 год</t>
  </si>
  <si>
    <t>НДФЛ (40%)</t>
  </si>
  <si>
    <t>Средний уровень налоговых доходов в расчете на душу населения на 2012 год</t>
  </si>
  <si>
    <t xml:space="preserve">СП Усть-Киранское </t>
  </si>
  <si>
    <t>Численность постоянного населения поселения на 01.01.2012</t>
  </si>
  <si>
    <t>Расходы бюджетов поселений по отдельному виду расходов в 2012 году</t>
  </si>
  <si>
    <t>Численность постоянного населения поселения на 01.01.2012 г.</t>
  </si>
  <si>
    <t>База налогооблажения 2013 г.</t>
  </si>
  <si>
    <t>Прогноз поступлений 2013 г.</t>
  </si>
  <si>
    <t>Прогноз поступлений налоговых доходов на 2014 год</t>
  </si>
  <si>
    <t>Субвенция на госполномочия на 2014 год</t>
  </si>
  <si>
    <t>Расчет дотации за счет субвенции на 2014 год</t>
  </si>
  <si>
    <t>Расчет дотаций за счет субвенции на 2014 год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</si>
</sst>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[$-FC19]d\ mmmm\ yyyy\ &quot;г.&quot;"/>
    <numFmt numFmtId="182" formatCode="_(* #,##0.0_);_(* \(#,##0.0\);_(* &quot;-&quot;??_);_(@_)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2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1" fontId="1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172" fontId="1" fillId="24" borderId="10" xfId="0" applyNumberFormat="1" applyFont="1" applyFill="1" applyBorder="1" applyAlignment="1">
      <alignment/>
    </xf>
    <xf numFmtId="172" fontId="2" fillId="24" borderId="10" xfId="0" applyNumberFormat="1" applyFont="1" applyFill="1" applyBorder="1" applyAlignment="1">
      <alignment/>
    </xf>
    <xf numFmtId="1" fontId="1" fillId="24" borderId="10" xfId="0" applyNumberFormat="1" applyFont="1" applyFill="1" applyBorder="1" applyAlignment="1">
      <alignment/>
    </xf>
    <xf numFmtId="1" fontId="2" fillId="24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1" fontId="9" fillId="0" borderId="10" xfId="0" applyNumberFormat="1" applyFont="1" applyBorder="1" applyAlignment="1">
      <alignment/>
    </xf>
    <xf numFmtId="172" fontId="9" fillId="24" borderId="10" xfId="0" applyNumberFormat="1" applyFont="1" applyFill="1" applyBorder="1" applyAlignment="1">
      <alignment/>
    </xf>
    <xf numFmtId="2" fontId="9" fillId="0" borderId="10" xfId="0" applyNumberFormat="1" applyFont="1" applyBorder="1" applyAlignment="1">
      <alignment/>
    </xf>
    <xf numFmtId="172" fontId="9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 vertical="center" wrapText="1"/>
    </xf>
    <xf numFmtId="1" fontId="7" fillId="0" borderId="10" xfId="0" applyNumberFormat="1" applyFont="1" applyBorder="1" applyAlignment="1">
      <alignment/>
    </xf>
    <xf numFmtId="172" fontId="7" fillId="24" borderId="10" xfId="0" applyNumberFormat="1" applyFont="1" applyFill="1" applyBorder="1" applyAlignment="1">
      <alignment/>
    </xf>
    <xf numFmtId="172" fontId="7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1" fontId="9" fillId="0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172" fontId="1" fillId="0" borderId="0" xfId="0" applyNumberFormat="1" applyFont="1" applyAlignment="1">
      <alignment/>
    </xf>
    <xf numFmtId="174" fontId="2" fillId="0" borderId="10" xfId="0" applyNumberFormat="1" applyFont="1" applyBorder="1" applyAlignment="1">
      <alignment/>
    </xf>
    <xf numFmtId="183" fontId="9" fillId="0" borderId="10" xfId="0" applyNumberFormat="1" applyFont="1" applyFill="1" applyBorder="1" applyAlignment="1">
      <alignment/>
    </xf>
    <xf numFmtId="182" fontId="7" fillId="0" borderId="10" xfId="60" applyNumberFormat="1" applyFont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" fontId="8" fillId="0" borderId="0" xfId="0" applyNumberFormat="1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72" fontId="9" fillId="0" borderId="11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7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172" fontId="1" fillId="24" borderId="11" xfId="0" applyNumberFormat="1" applyFont="1" applyFill="1" applyBorder="1" applyAlignment="1">
      <alignment horizontal="center" vertical="center"/>
    </xf>
    <xf numFmtId="172" fontId="1" fillId="24" borderId="12" xfId="0" applyNumberFormat="1" applyFont="1" applyFill="1" applyBorder="1" applyAlignment="1">
      <alignment horizontal="center" vertical="center"/>
    </xf>
    <xf numFmtId="172" fontId="1" fillId="24" borderId="16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0" fontId="2" fillId="0" borderId="13" xfId="43" applyFont="1" applyBorder="1" applyAlignment="1">
      <alignment horizontal="center" vertical="center" wrapText="1"/>
    </xf>
    <xf numFmtId="170" fontId="2" fillId="0" borderId="14" xfId="43" applyFont="1" applyBorder="1" applyAlignment="1">
      <alignment horizontal="center" vertical="center" wrapText="1"/>
    </xf>
    <xf numFmtId="170" fontId="2" fillId="0" borderId="15" xfId="43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72" fontId="1" fillId="0" borderId="11" xfId="0" applyNumberFormat="1" applyFon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5" fontId="1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172" fontId="1" fillId="24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view="pageBreakPreview" zoomScale="75" zoomScaleNormal="90" zoomScaleSheetLayoutView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35" sqref="K35"/>
    </sheetView>
  </sheetViews>
  <sheetFormatPr defaultColWidth="9.140625" defaultRowHeight="12.75"/>
  <cols>
    <col min="1" max="1" width="7.421875" style="28" customWidth="1"/>
    <col min="2" max="2" width="27.57421875" style="28" customWidth="1"/>
    <col min="3" max="3" width="17.7109375" style="28" customWidth="1"/>
    <col min="4" max="4" width="14.8515625" style="28" customWidth="1"/>
    <col min="5" max="5" width="14.140625" style="28" customWidth="1"/>
    <col min="6" max="6" width="13.28125" style="28" customWidth="1"/>
    <col min="7" max="7" width="9.7109375" style="28" customWidth="1"/>
    <col min="8" max="8" width="9.421875" style="28" customWidth="1"/>
    <col min="9" max="9" width="8.8515625" style="28" customWidth="1"/>
    <col min="10" max="10" width="9.421875" style="28" customWidth="1"/>
    <col min="11" max="11" width="9.8515625" style="28" customWidth="1"/>
    <col min="12" max="12" width="9.00390625" style="28" customWidth="1"/>
    <col min="13" max="13" width="11.00390625" style="28" customWidth="1"/>
    <col min="14" max="15" width="10.57421875" style="28" customWidth="1"/>
    <col min="16" max="16" width="13.7109375" style="28" customWidth="1"/>
    <col min="17" max="17" width="12.57421875" style="28" hidden="1" customWidth="1"/>
    <col min="18" max="19" width="14.28125" style="28" hidden="1" customWidth="1"/>
    <col min="20" max="16384" width="9.140625" style="28" customWidth="1"/>
  </cols>
  <sheetData>
    <row r="1" spans="1:19" ht="15.75">
      <c r="A1" s="26" t="s">
        <v>7</v>
      </c>
      <c r="B1" s="26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13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14.25" customHeight="1">
      <c r="A3" s="65" t="s">
        <v>1</v>
      </c>
      <c r="B3" s="65"/>
      <c r="C3" s="27" t="s">
        <v>116</v>
      </c>
      <c r="D3" s="27"/>
      <c r="E3" s="27"/>
      <c r="F3" s="27"/>
      <c r="G3" s="27">
        <v>10</v>
      </c>
      <c r="H3" s="27">
        <v>100</v>
      </c>
      <c r="I3" s="27">
        <v>100</v>
      </c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14.2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19" ht="30.75" customHeight="1">
      <c r="A5" s="60" t="s">
        <v>4</v>
      </c>
      <c r="B5" s="60" t="s">
        <v>0</v>
      </c>
      <c r="C5" s="60" t="s">
        <v>139</v>
      </c>
      <c r="D5" s="56" t="s">
        <v>140</v>
      </c>
      <c r="E5" s="57"/>
      <c r="F5" s="58"/>
      <c r="G5" s="56" t="s">
        <v>100</v>
      </c>
      <c r="H5" s="57"/>
      <c r="I5" s="58"/>
      <c r="J5" s="56" t="s">
        <v>141</v>
      </c>
      <c r="K5" s="57"/>
      <c r="L5" s="58"/>
      <c r="M5" s="56" t="s">
        <v>17</v>
      </c>
      <c r="N5" s="57"/>
      <c r="O5" s="57"/>
      <c r="P5" s="60" t="s">
        <v>9</v>
      </c>
      <c r="Q5" s="60" t="s">
        <v>133</v>
      </c>
      <c r="R5" s="60" t="s">
        <v>5</v>
      </c>
      <c r="S5" s="55" t="s">
        <v>20</v>
      </c>
    </row>
    <row r="6" spans="1:19" ht="65.25" customHeight="1">
      <c r="A6" s="53"/>
      <c r="B6" s="53"/>
      <c r="C6" s="61"/>
      <c r="D6" s="29" t="s">
        <v>101</v>
      </c>
      <c r="E6" s="29" t="s">
        <v>102</v>
      </c>
      <c r="F6" s="29" t="s">
        <v>103</v>
      </c>
      <c r="G6" s="29" t="s">
        <v>104</v>
      </c>
      <c r="H6" s="29" t="s">
        <v>105</v>
      </c>
      <c r="I6" s="29" t="s">
        <v>106</v>
      </c>
      <c r="J6" s="29" t="s">
        <v>134</v>
      </c>
      <c r="K6" s="29" t="s">
        <v>15</v>
      </c>
      <c r="L6" s="29" t="s">
        <v>16</v>
      </c>
      <c r="M6" s="48" t="s">
        <v>14</v>
      </c>
      <c r="N6" s="48" t="s">
        <v>15</v>
      </c>
      <c r="O6" s="48" t="s">
        <v>16</v>
      </c>
      <c r="P6" s="61"/>
      <c r="Q6" s="61"/>
      <c r="R6" s="61"/>
      <c r="S6" s="55"/>
    </row>
    <row r="7" spans="1:19" ht="15.75">
      <c r="A7" s="61"/>
      <c r="B7" s="61"/>
      <c r="C7" s="30" t="s">
        <v>72</v>
      </c>
      <c r="D7" s="30" t="s">
        <v>107</v>
      </c>
      <c r="E7" s="30" t="s">
        <v>108</v>
      </c>
      <c r="F7" s="30" t="s">
        <v>109</v>
      </c>
      <c r="G7" s="30" t="s">
        <v>110</v>
      </c>
      <c r="H7" s="30" t="s">
        <v>111</v>
      </c>
      <c r="I7" s="30" t="s">
        <v>112</v>
      </c>
      <c r="J7" s="30" t="s">
        <v>113</v>
      </c>
      <c r="K7" s="30" t="s">
        <v>114</v>
      </c>
      <c r="L7" s="30" t="s">
        <v>115</v>
      </c>
      <c r="M7" s="30" t="s">
        <v>10</v>
      </c>
      <c r="N7" s="30" t="s">
        <v>11</v>
      </c>
      <c r="O7" s="30" t="s">
        <v>12</v>
      </c>
      <c r="P7" s="30" t="s">
        <v>13</v>
      </c>
      <c r="Q7" s="30" t="s">
        <v>18</v>
      </c>
      <c r="R7" s="30" t="s">
        <v>6</v>
      </c>
      <c r="S7" s="30" t="s">
        <v>19</v>
      </c>
    </row>
    <row r="8" spans="1:22" ht="15" customHeight="1">
      <c r="A8" s="31" t="s">
        <v>83</v>
      </c>
      <c r="B8" s="32" t="s">
        <v>117</v>
      </c>
      <c r="C8" s="33">
        <v>688</v>
      </c>
      <c r="D8" s="34">
        <v>52079.05</v>
      </c>
      <c r="E8" s="34">
        <v>61952</v>
      </c>
      <c r="F8" s="34">
        <v>11202.6</v>
      </c>
      <c r="G8" s="35">
        <f>10/35</f>
        <v>0.2857142857142857</v>
      </c>
      <c r="H8" s="36">
        <v>1</v>
      </c>
      <c r="I8" s="36">
        <v>1</v>
      </c>
      <c r="J8" s="62">
        <v>118006.2</v>
      </c>
      <c r="K8" s="46">
        <v>149.6</v>
      </c>
      <c r="L8" s="36">
        <v>7</v>
      </c>
      <c r="M8" s="36">
        <f>D8/$D$25*G8*$J$8</f>
        <v>700.9356527899257</v>
      </c>
      <c r="N8" s="36">
        <v>185.6</v>
      </c>
      <c r="O8" s="35">
        <v>18.1</v>
      </c>
      <c r="P8" s="36">
        <f>M8+N8+O8+0.5</f>
        <v>905.1356527899258</v>
      </c>
      <c r="Q8" s="34"/>
      <c r="R8" s="32"/>
      <c r="S8" s="35"/>
      <c r="V8" s="52"/>
    </row>
    <row r="9" spans="1:22" ht="15" customHeight="1">
      <c r="A9" s="31" t="s">
        <v>84</v>
      </c>
      <c r="B9" s="32" t="s">
        <v>118</v>
      </c>
      <c r="C9" s="33">
        <v>1605</v>
      </c>
      <c r="D9" s="34">
        <v>99203.43</v>
      </c>
      <c r="E9" s="34">
        <v>174413.3</v>
      </c>
      <c r="F9" s="34">
        <v>19769.3</v>
      </c>
      <c r="G9" s="35">
        <f aca="true" t="shared" si="0" ref="G9:G24">10/35</f>
        <v>0.2857142857142857</v>
      </c>
      <c r="H9" s="36">
        <v>1</v>
      </c>
      <c r="I9" s="36">
        <v>1</v>
      </c>
      <c r="J9" s="63"/>
      <c r="K9" s="46">
        <v>476.9</v>
      </c>
      <c r="L9" s="36">
        <v>13</v>
      </c>
      <c r="M9" s="36">
        <f>D9/$D$25*G9*$J$8</f>
        <v>1335.1860482487618</v>
      </c>
      <c r="N9" s="36">
        <v>519.2</v>
      </c>
      <c r="O9" s="35">
        <v>45</v>
      </c>
      <c r="P9" s="36">
        <f>M9+N9+O9+1.9</f>
        <v>1901.286048248762</v>
      </c>
      <c r="Q9" s="34"/>
      <c r="R9" s="32"/>
      <c r="S9" s="35"/>
      <c r="V9" s="52"/>
    </row>
    <row r="10" spans="1:22" ht="15" customHeight="1">
      <c r="A10" s="31" t="s">
        <v>85</v>
      </c>
      <c r="B10" s="32" t="s">
        <v>119</v>
      </c>
      <c r="C10" s="33">
        <v>892</v>
      </c>
      <c r="D10" s="34">
        <v>79715.08</v>
      </c>
      <c r="E10" s="34">
        <v>36920</v>
      </c>
      <c r="F10" s="34">
        <v>12520.6</v>
      </c>
      <c r="G10" s="35">
        <f t="shared" si="0"/>
        <v>0.2857142857142857</v>
      </c>
      <c r="H10" s="36">
        <v>1</v>
      </c>
      <c r="I10" s="36">
        <v>1</v>
      </c>
      <c r="J10" s="63"/>
      <c r="K10" s="46">
        <v>106</v>
      </c>
      <c r="L10" s="36">
        <v>9</v>
      </c>
      <c r="M10" s="36">
        <f aca="true" t="shared" si="1" ref="M10:M24">D10/$D$25*G10*$J$8</f>
        <v>1072.8909539824774</v>
      </c>
      <c r="N10" s="36">
        <v>131.4</v>
      </c>
      <c r="O10" s="35">
        <v>26</v>
      </c>
      <c r="P10" s="36">
        <f>M10+N10+O10+0.7</f>
        <v>1230.9909539824775</v>
      </c>
      <c r="Q10" s="34"/>
      <c r="R10" s="32"/>
      <c r="S10" s="35"/>
      <c r="V10" s="52"/>
    </row>
    <row r="11" spans="1:22" ht="15.75">
      <c r="A11" s="31" t="s">
        <v>86</v>
      </c>
      <c r="B11" s="32" t="s">
        <v>120</v>
      </c>
      <c r="C11" s="33">
        <v>557</v>
      </c>
      <c r="D11" s="34">
        <v>43601.06</v>
      </c>
      <c r="E11" s="34">
        <v>49282.8</v>
      </c>
      <c r="F11" s="34">
        <v>11202.6</v>
      </c>
      <c r="G11" s="35">
        <f t="shared" si="0"/>
        <v>0.2857142857142857</v>
      </c>
      <c r="H11" s="36">
        <v>1</v>
      </c>
      <c r="I11" s="36">
        <v>1</v>
      </c>
      <c r="J11" s="63"/>
      <c r="K11" s="46">
        <v>103.4</v>
      </c>
      <c r="L11" s="36">
        <v>7</v>
      </c>
      <c r="M11" s="36">
        <f t="shared" si="1"/>
        <v>586.8297799870143</v>
      </c>
      <c r="N11" s="36">
        <v>138.5</v>
      </c>
      <c r="O11" s="35">
        <v>24</v>
      </c>
      <c r="P11" s="36">
        <f>M11+N11+O11+0.6</f>
        <v>749.9297799870143</v>
      </c>
      <c r="Q11" s="34"/>
      <c r="R11" s="32"/>
      <c r="S11" s="35"/>
      <c r="V11" s="52"/>
    </row>
    <row r="12" spans="1:22" ht="15" customHeight="1">
      <c r="A12" s="31" t="s">
        <v>87</v>
      </c>
      <c r="B12" s="32" t="s">
        <v>121</v>
      </c>
      <c r="C12" s="33">
        <v>1492</v>
      </c>
      <c r="D12" s="34">
        <v>97221.57</v>
      </c>
      <c r="E12" s="34">
        <v>148126.7</v>
      </c>
      <c r="F12" s="34">
        <v>18451.4</v>
      </c>
      <c r="G12" s="35">
        <f t="shared" si="0"/>
        <v>0.2857142857142857</v>
      </c>
      <c r="H12" s="36">
        <v>1</v>
      </c>
      <c r="I12" s="36">
        <v>1</v>
      </c>
      <c r="J12" s="63"/>
      <c r="K12" s="46">
        <v>407.3</v>
      </c>
      <c r="L12" s="36">
        <v>15</v>
      </c>
      <c r="M12" s="36">
        <f t="shared" si="1"/>
        <v>1308.5120529888977</v>
      </c>
      <c r="N12" s="36">
        <v>430.4</v>
      </c>
      <c r="O12" s="35">
        <v>39</v>
      </c>
      <c r="P12" s="36">
        <f>M12+N12+O12+6.8</f>
        <v>1784.7120529888978</v>
      </c>
      <c r="Q12" s="34"/>
      <c r="R12" s="32"/>
      <c r="S12" s="35"/>
      <c r="V12" s="52"/>
    </row>
    <row r="13" spans="1:22" ht="15" customHeight="1">
      <c r="A13" s="31" t="s">
        <v>88</v>
      </c>
      <c r="B13" s="32" t="s">
        <v>122</v>
      </c>
      <c r="C13" s="33">
        <v>605</v>
      </c>
      <c r="D13" s="34">
        <v>44922.31</v>
      </c>
      <c r="E13" s="34">
        <v>104338.5</v>
      </c>
      <c r="F13" s="34">
        <v>11202.6</v>
      </c>
      <c r="G13" s="35">
        <f t="shared" si="0"/>
        <v>0.2857142857142857</v>
      </c>
      <c r="H13" s="36">
        <v>1</v>
      </c>
      <c r="I13" s="36">
        <v>1</v>
      </c>
      <c r="J13" s="63"/>
      <c r="K13" s="46">
        <v>230.4</v>
      </c>
      <c r="L13" s="36">
        <v>7</v>
      </c>
      <c r="M13" s="36">
        <f t="shared" si="1"/>
        <v>604.6125780843046</v>
      </c>
      <c r="N13" s="36">
        <v>293.9</v>
      </c>
      <c r="O13" s="35">
        <v>23</v>
      </c>
      <c r="P13" s="36">
        <f>M13+N13+O13</f>
        <v>921.5125780843046</v>
      </c>
      <c r="Q13" s="34"/>
      <c r="R13" s="32"/>
      <c r="S13" s="35"/>
      <c r="V13" s="52"/>
    </row>
    <row r="14" spans="1:22" ht="15" customHeight="1">
      <c r="A14" s="31" t="s">
        <v>89</v>
      </c>
      <c r="B14" s="32" t="s">
        <v>123</v>
      </c>
      <c r="C14" s="33">
        <v>472</v>
      </c>
      <c r="D14" s="34">
        <v>45032.41</v>
      </c>
      <c r="E14" s="34">
        <v>9719.5</v>
      </c>
      <c r="F14" s="34">
        <v>7248.7</v>
      </c>
      <c r="G14" s="35">
        <f t="shared" si="0"/>
        <v>0.2857142857142857</v>
      </c>
      <c r="H14" s="36">
        <v>1</v>
      </c>
      <c r="I14" s="36">
        <v>1</v>
      </c>
      <c r="J14" s="63"/>
      <c r="K14" s="46">
        <v>17.7</v>
      </c>
      <c r="L14" s="36">
        <v>1</v>
      </c>
      <c r="M14" s="36">
        <f t="shared" si="1"/>
        <v>606.0944218462813</v>
      </c>
      <c r="N14" s="36">
        <v>27.1</v>
      </c>
      <c r="O14" s="35">
        <v>21</v>
      </c>
      <c r="P14" s="36">
        <f>M14+N14+O14+0.2</f>
        <v>654.3944218462814</v>
      </c>
      <c r="Q14" s="34"/>
      <c r="R14" s="36"/>
      <c r="S14" s="35"/>
      <c r="V14" s="52"/>
    </row>
    <row r="15" spans="1:22" ht="15" customHeight="1">
      <c r="A15" s="31" t="s">
        <v>90</v>
      </c>
      <c r="B15" s="32" t="s">
        <v>124</v>
      </c>
      <c r="C15" s="33">
        <v>418</v>
      </c>
      <c r="D15" s="34">
        <v>34682.66</v>
      </c>
      <c r="E15" s="34">
        <v>50622</v>
      </c>
      <c r="F15" s="34">
        <v>7907.7</v>
      </c>
      <c r="G15" s="35">
        <f t="shared" si="0"/>
        <v>0.2857142857142857</v>
      </c>
      <c r="H15" s="36">
        <v>1</v>
      </c>
      <c r="I15" s="36">
        <v>1</v>
      </c>
      <c r="J15" s="63"/>
      <c r="K15" s="46">
        <v>170.1</v>
      </c>
      <c r="L15" s="36">
        <v>2</v>
      </c>
      <c r="M15" s="36">
        <f t="shared" si="1"/>
        <v>466.7963975454822</v>
      </c>
      <c r="N15" s="36">
        <v>184.5</v>
      </c>
      <c r="O15" s="35">
        <v>18</v>
      </c>
      <c r="P15" s="36">
        <f>M15+N15+O15+0.7</f>
        <v>669.9963975454823</v>
      </c>
      <c r="Q15" s="34"/>
      <c r="R15" s="36"/>
      <c r="S15" s="35"/>
      <c r="V15" s="52"/>
    </row>
    <row r="16" spans="1:22" ht="15" customHeight="1">
      <c r="A16" s="31" t="s">
        <v>91</v>
      </c>
      <c r="B16" s="32" t="s">
        <v>125</v>
      </c>
      <c r="C16" s="33">
        <v>410</v>
      </c>
      <c r="D16" s="34">
        <v>33031.11</v>
      </c>
      <c r="E16" s="34">
        <v>20489</v>
      </c>
      <c r="F16" s="34">
        <v>7248.7</v>
      </c>
      <c r="G16" s="35">
        <f t="shared" si="0"/>
        <v>0.2857142857142857</v>
      </c>
      <c r="H16" s="36">
        <v>1</v>
      </c>
      <c r="I16" s="36">
        <v>1</v>
      </c>
      <c r="J16" s="63"/>
      <c r="K16" s="46">
        <v>26.7</v>
      </c>
      <c r="L16" s="36">
        <v>1</v>
      </c>
      <c r="M16" s="36">
        <f t="shared" si="1"/>
        <v>444.5680681622618</v>
      </c>
      <c r="N16" s="36">
        <v>57.4</v>
      </c>
      <c r="O16" s="35">
        <v>16</v>
      </c>
      <c r="P16" s="36">
        <f>M16+N16+O16</f>
        <v>517.9680681622617</v>
      </c>
      <c r="Q16" s="34"/>
      <c r="R16" s="36"/>
      <c r="S16" s="35"/>
      <c r="V16" s="52"/>
    </row>
    <row r="17" spans="1:22" ht="15" customHeight="1">
      <c r="A17" s="31" t="s">
        <v>92</v>
      </c>
      <c r="B17" s="32" t="s">
        <v>126</v>
      </c>
      <c r="C17" s="33">
        <v>1219</v>
      </c>
      <c r="D17" s="34">
        <v>77072.59</v>
      </c>
      <c r="E17" s="34">
        <v>229860</v>
      </c>
      <c r="F17" s="34">
        <v>13838.5</v>
      </c>
      <c r="G17" s="35">
        <f t="shared" si="0"/>
        <v>0.2857142857142857</v>
      </c>
      <c r="H17" s="36">
        <v>1</v>
      </c>
      <c r="I17" s="36">
        <v>1</v>
      </c>
      <c r="J17" s="63"/>
      <c r="K17" s="46">
        <v>556.7</v>
      </c>
      <c r="L17" s="36">
        <v>11</v>
      </c>
      <c r="M17" s="36">
        <f t="shared" si="1"/>
        <v>1037.3254923786108</v>
      </c>
      <c r="N17" s="36">
        <v>643.9</v>
      </c>
      <c r="O17" s="35">
        <v>29</v>
      </c>
      <c r="P17" s="36">
        <f>M17+N17+O17+8</f>
        <v>1718.2254923786109</v>
      </c>
      <c r="Q17" s="34"/>
      <c r="R17" s="36"/>
      <c r="S17" s="35"/>
      <c r="V17" s="52"/>
    </row>
    <row r="18" spans="1:22" ht="15" customHeight="1">
      <c r="A18" s="31" t="s">
        <v>93</v>
      </c>
      <c r="B18" s="32" t="s">
        <v>136</v>
      </c>
      <c r="C18" s="33">
        <v>1634</v>
      </c>
      <c r="D18" s="34">
        <v>108892.56</v>
      </c>
      <c r="E18" s="34">
        <v>130264.7</v>
      </c>
      <c r="F18" s="34">
        <v>15156.5</v>
      </c>
      <c r="G18" s="35">
        <f t="shared" si="0"/>
        <v>0.2857142857142857</v>
      </c>
      <c r="H18" s="36">
        <v>1</v>
      </c>
      <c r="I18" s="36">
        <v>1</v>
      </c>
      <c r="J18" s="63"/>
      <c r="K18" s="46">
        <v>320.9</v>
      </c>
      <c r="L18" s="36">
        <v>13</v>
      </c>
      <c r="M18" s="36">
        <f t="shared" si="1"/>
        <v>1465.592740796273</v>
      </c>
      <c r="N18" s="36">
        <v>398</v>
      </c>
      <c r="O18" s="35">
        <v>29</v>
      </c>
      <c r="P18" s="36">
        <f>M18+N18+O18+5.5</f>
        <v>1898.092740796273</v>
      </c>
      <c r="Q18" s="34"/>
      <c r="R18" s="36"/>
      <c r="S18" s="35"/>
      <c r="V18" s="52"/>
    </row>
    <row r="19" spans="1:22" ht="15" customHeight="1">
      <c r="A19" s="31" t="s">
        <v>94</v>
      </c>
      <c r="B19" s="32" t="s">
        <v>127</v>
      </c>
      <c r="C19" s="42">
        <v>1970</v>
      </c>
      <c r="D19" s="34">
        <v>100744.88</v>
      </c>
      <c r="E19" s="34">
        <v>93233</v>
      </c>
      <c r="F19" s="34">
        <v>6589.8</v>
      </c>
      <c r="G19" s="35">
        <f t="shared" si="0"/>
        <v>0.2857142857142857</v>
      </c>
      <c r="H19" s="36">
        <v>1</v>
      </c>
      <c r="I19" s="36">
        <v>1</v>
      </c>
      <c r="J19" s="63"/>
      <c r="K19" s="46">
        <v>347.8</v>
      </c>
      <c r="L19" s="36">
        <v>16.2</v>
      </c>
      <c r="M19" s="36">
        <f t="shared" si="1"/>
        <v>1355.932533870006</v>
      </c>
      <c r="N19" s="36">
        <v>354.5</v>
      </c>
      <c r="O19" s="35">
        <v>19</v>
      </c>
      <c r="P19" s="36">
        <f>M19+N19+O19+0.6</f>
        <v>1730.0325338700059</v>
      </c>
      <c r="Q19" s="34"/>
      <c r="R19" s="36"/>
      <c r="S19" s="35"/>
      <c r="V19" s="52"/>
    </row>
    <row r="20" spans="1:22" ht="15" customHeight="1">
      <c r="A20" s="31" t="s">
        <v>95</v>
      </c>
      <c r="B20" s="32" t="s">
        <v>128</v>
      </c>
      <c r="C20" s="42">
        <v>1950</v>
      </c>
      <c r="D20" s="34">
        <v>90615.34</v>
      </c>
      <c r="E20" s="34">
        <v>66067</v>
      </c>
      <c r="F20" s="34">
        <v>27677</v>
      </c>
      <c r="G20" s="35">
        <f t="shared" si="0"/>
        <v>0.2857142857142857</v>
      </c>
      <c r="H20" s="36">
        <v>1</v>
      </c>
      <c r="I20" s="36">
        <v>1</v>
      </c>
      <c r="J20" s="63"/>
      <c r="K20" s="46">
        <v>380.4</v>
      </c>
      <c r="L20" s="36">
        <v>28</v>
      </c>
      <c r="M20" s="36">
        <f t="shared" si="1"/>
        <v>1219.598331683874</v>
      </c>
      <c r="N20" s="36">
        <v>425</v>
      </c>
      <c r="O20" s="35">
        <v>55</v>
      </c>
      <c r="P20" s="36">
        <f>M20+N20+O20+30</f>
        <v>1729.598331683874</v>
      </c>
      <c r="Q20" s="34"/>
      <c r="R20" s="36"/>
      <c r="S20" s="35"/>
      <c r="V20" s="52"/>
    </row>
    <row r="21" spans="1:22" ht="15" customHeight="1">
      <c r="A21" s="31" t="s">
        <v>96</v>
      </c>
      <c r="B21" s="32" t="s">
        <v>129</v>
      </c>
      <c r="C21" s="42">
        <v>732</v>
      </c>
      <c r="D21" s="34">
        <v>38205.98</v>
      </c>
      <c r="E21" s="34">
        <v>5680</v>
      </c>
      <c r="F21" s="34">
        <v>7907.7</v>
      </c>
      <c r="G21" s="35">
        <f t="shared" si="0"/>
        <v>0.2857142857142857</v>
      </c>
      <c r="H21" s="36">
        <v>1</v>
      </c>
      <c r="I21" s="36">
        <v>1</v>
      </c>
      <c r="J21" s="63"/>
      <c r="K21" s="46">
        <v>3.5</v>
      </c>
      <c r="L21" s="36">
        <v>2</v>
      </c>
      <c r="M21" s="36">
        <f t="shared" si="1"/>
        <v>514.2170130173045</v>
      </c>
      <c r="N21" s="36">
        <v>63.3</v>
      </c>
      <c r="O21" s="35">
        <v>24</v>
      </c>
      <c r="P21" s="36">
        <f>M21+N21+O21+0.3</f>
        <v>601.8170130173044</v>
      </c>
      <c r="Q21" s="34"/>
      <c r="R21" s="36"/>
      <c r="S21" s="35"/>
      <c r="V21" s="52"/>
    </row>
    <row r="22" spans="1:22" ht="15" customHeight="1">
      <c r="A22" s="31" t="s">
        <v>97</v>
      </c>
      <c r="B22" s="32" t="s">
        <v>130</v>
      </c>
      <c r="C22" s="42">
        <v>951</v>
      </c>
      <c r="D22" s="34">
        <v>69475.43</v>
      </c>
      <c r="E22" s="34">
        <v>66686.9</v>
      </c>
      <c r="F22" s="34">
        <v>11202.6</v>
      </c>
      <c r="G22" s="35">
        <f t="shared" si="0"/>
        <v>0.2857142857142857</v>
      </c>
      <c r="H22" s="36">
        <v>1</v>
      </c>
      <c r="I22" s="36">
        <v>1</v>
      </c>
      <c r="J22" s="63"/>
      <c r="K22" s="46">
        <v>163.1</v>
      </c>
      <c r="L22" s="36">
        <v>7</v>
      </c>
      <c r="M22" s="36">
        <f t="shared" si="1"/>
        <v>935.074773443655</v>
      </c>
      <c r="N22" s="36">
        <v>202.3</v>
      </c>
      <c r="O22" s="35">
        <v>27</v>
      </c>
      <c r="P22" s="36">
        <f>M22+N22+O22</f>
        <v>1164.374773443655</v>
      </c>
      <c r="Q22" s="34"/>
      <c r="R22" s="36"/>
      <c r="S22" s="35"/>
      <c r="V22" s="52"/>
    </row>
    <row r="23" spans="1:19" ht="15" customHeight="1">
      <c r="A23" s="31" t="s">
        <v>98</v>
      </c>
      <c r="B23" s="37" t="s">
        <v>131</v>
      </c>
      <c r="C23" s="42">
        <v>20042</v>
      </c>
      <c r="D23" s="34">
        <v>1249678.13</v>
      </c>
      <c r="E23" s="34">
        <v>576800</v>
      </c>
      <c r="F23" s="34">
        <v>621678.715</v>
      </c>
      <c r="G23" s="35">
        <f t="shared" si="0"/>
        <v>0.2857142857142857</v>
      </c>
      <c r="H23" s="36">
        <v>1</v>
      </c>
      <c r="I23" s="36">
        <v>1</v>
      </c>
      <c r="J23" s="63"/>
      <c r="K23" s="46">
        <v>3950.8</v>
      </c>
      <c r="L23" s="36">
        <v>500</v>
      </c>
      <c r="M23" s="36">
        <f t="shared" si="1"/>
        <v>16819.50718818495</v>
      </c>
      <c r="N23" s="36">
        <v>4899</v>
      </c>
      <c r="O23" s="35">
        <v>1447.5</v>
      </c>
      <c r="P23" s="36">
        <f>M23+N23+O23+7.6</f>
        <v>23173.60718818495</v>
      </c>
      <c r="Q23" s="34"/>
      <c r="R23" s="36"/>
      <c r="S23" s="35"/>
    </row>
    <row r="24" spans="1:19" ht="15" customHeight="1">
      <c r="A24" s="31" t="s">
        <v>99</v>
      </c>
      <c r="B24" s="32" t="s">
        <v>132</v>
      </c>
      <c r="C24" s="33">
        <v>3218</v>
      </c>
      <c r="D24" s="34">
        <v>240906.896</v>
      </c>
      <c r="E24" s="34">
        <v>86973.3</v>
      </c>
      <c r="F24" s="34">
        <v>59307.9</v>
      </c>
      <c r="G24" s="35">
        <f t="shared" si="0"/>
        <v>0.2857142857142857</v>
      </c>
      <c r="H24" s="36">
        <v>1</v>
      </c>
      <c r="I24" s="36">
        <v>1</v>
      </c>
      <c r="J24" s="64"/>
      <c r="K24" s="46">
        <v>287.6</v>
      </c>
      <c r="L24" s="36">
        <v>62</v>
      </c>
      <c r="M24" s="36">
        <f t="shared" si="1"/>
        <v>3242.3831158470575</v>
      </c>
      <c r="N24" s="36">
        <v>400</v>
      </c>
      <c r="O24" s="35">
        <v>500</v>
      </c>
      <c r="P24" s="36">
        <f>M24+N24+O24</f>
        <v>4142.3831158470575</v>
      </c>
      <c r="Q24" s="34"/>
      <c r="R24" s="36"/>
      <c r="S24" s="35"/>
    </row>
    <row r="25" spans="1:19" ht="15" customHeight="1">
      <c r="A25" s="59" t="s">
        <v>2</v>
      </c>
      <c r="B25" s="59"/>
      <c r="C25" s="38">
        <f aca="true" t="shared" si="2" ref="C25:O25">SUM(C8:C24)</f>
        <v>38855</v>
      </c>
      <c r="D25" s="39">
        <f t="shared" si="2"/>
        <v>2505080.486</v>
      </c>
      <c r="E25" s="39">
        <f>SUM(E8:E24)</f>
        <v>1911428.7</v>
      </c>
      <c r="F25" s="39">
        <f t="shared" si="2"/>
        <v>870112.915</v>
      </c>
      <c r="G25" s="40"/>
      <c r="H25" s="40">
        <f t="shared" si="2"/>
        <v>17</v>
      </c>
      <c r="I25" s="40">
        <f t="shared" si="2"/>
        <v>17</v>
      </c>
      <c r="J25" s="40">
        <f>SUM(J8:J24)</f>
        <v>118006.2</v>
      </c>
      <c r="K25" s="40">
        <f t="shared" si="2"/>
        <v>7698.9000000000015</v>
      </c>
      <c r="L25" s="40">
        <f t="shared" si="2"/>
        <v>701.2</v>
      </c>
      <c r="M25" s="47">
        <f t="shared" si="2"/>
        <v>33716.05714285714</v>
      </c>
      <c r="N25" s="40">
        <f t="shared" si="2"/>
        <v>9354</v>
      </c>
      <c r="O25" s="40">
        <f t="shared" si="2"/>
        <v>2360.6</v>
      </c>
      <c r="P25" s="40">
        <f>SUM(P8:P24)</f>
        <v>45494.05714285714</v>
      </c>
      <c r="Q25" s="39"/>
      <c r="R25" s="40">
        <f>SUM(R8:R17)</f>
        <v>0</v>
      </c>
      <c r="S25" s="40"/>
    </row>
    <row r="26" spans="1:19" ht="15.7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</row>
  </sheetData>
  <sheetProtection/>
  <mergeCells count="14">
    <mergeCell ref="A3:B3"/>
    <mergeCell ref="A5:A7"/>
    <mergeCell ref="B5:B7"/>
    <mergeCell ref="C5:C6"/>
    <mergeCell ref="A25:B25"/>
    <mergeCell ref="P5:P6"/>
    <mergeCell ref="Q5:Q6"/>
    <mergeCell ref="R5:R6"/>
    <mergeCell ref="J8:J24"/>
    <mergeCell ref="S5:S6"/>
    <mergeCell ref="D5:F5"/>
    <mergeCell ref="G5:I5"/>
    <mergeCell ref="J5:L5"/>
    <mergeCell ref="M5:O5"/>
  </mergeCells>
  <printOptions/>
  <pageMargins left="0" right="0" top="0.984251968503937" bottom="0.984251968503937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="60" zoomScaleNormal="75" zoomScalePageLayoutView="0" workbookViewId="0" topLeftCell="A1">
      <pane xSplit="2" topLeftCell="C1" activePane="topRight" state="frozen"/>
      <selection pane="topLeft" activeCell="A1" sqref="A1"/>
      <selection pane="topRight" activeCell="G35" sqref="G35"/>
    </sheetView>
  </sheetViews>
  <sheetFormatPr defaultColWidth="9.140625" defaultRowHeight="12.75"/>
  <cols>
    <col min="1" max="1" width="7.421875" style="1" customWidth="1"/>
    <col min="2" max="2" width="32.140625" style="1" customWidth="1"/>
    <col min="3" max="5" width="17.421875" style="1" customWidth="1"/>
    <col min="6" max="6" width="15.7109375" style="1" customWidth="1"/>
    <col min="7" max="7" width="20.421875" style="1" customWidth="1"/>
    <col min="8" max="8" width="17.00390625" style="1" customWidth="1"/>
    <col min="9" max="9" width="28.8515625" style="1" hidden="1" customWidth="1"/>
    <col min="10" max="10" width="19.140625" style="1" customWidth="1"/>
    <col min="11" max="11" width="16.7109375" style="1" customWidth="1"/>
    <col min="12" max="16384" width="9.140625" style="1" customWidth="1"/>
  </cols>
  <sheetData>
    <row r="1" spans="1:2" s="2" customFormat="1" ht="18.75">
      <c r="A1" s="9" t="s">
        <v>7</v>
      </c>
      <c r="B1" s="9"/>
    </row>
    <row r="2" s="2" customFormat="1" ht="18.75"/>
    <row r="3" spans="1:3" s="2" customFormat="1" ht="18.75">
      <c r="A3" s="54" t="s">
        <v>1</v>
      </c>
      <c r="B3" s="54"/>
      <c r="C3" s="2" t="s">
        <v>116</v>
      </c>
    </row>
    <row r="4" s="2" customFormat="1" ht="18.75"/>
    <row r="5" spans="1:11" s="10" customFormat="1" ht="48.75" customHeight="1">
      <c r="A5" s="66" t="s">
        <v>4</v>
      </c>
      <c r="B5" s="66" t="s">
        <v>0</v>
      </c>
      <c r="C5" s="66" t="s">
        <v>137</v>
      </c>
      <c r="D5" s="50" t="s">
        <v>17</v>
      </c>
      <c r="E5" s="51"/>
      <c r="F5" s="51"/>
      <c r="G5" s="66" t="s">
        <v>9</v>
      </c>
      <c r="H5" s="66" t="s">
        <v>142</v>
      </c>
      <c r="I5" s="66" t="s">
        <v>5</v>
      </c>
      <c r="J5" s="66" t="s">
        <v>76</v>
      </c>
      <c r="K5" s="74" t="s">
        <v>20</v>
      </c>
    </row>
    <row r="6" spans="1:11" s="13" customFormat="1" ht="55.5" customHeight="1">
      <c r="A6" s="70"/>
      <c r="B6" s="70"/>
      <c r="C6" s="67"/>
      <c r="D6" s="49" t="s">
        <v>14</v>
      </c>
      <c r="E6" s="49" t="s">
        <v>15</v>
      </c>
      <c r="F6" s="49" t="s">
        <v>16</v>
      </c>
      <c r="G6" s="67"/>
      <c r="H6" s="67"/>
      <c r="I6" s="67"/>
      <c r="J6" s="67"/>
      <c r="K6" s="74"/>
    </row>
    <row r="7" spans="1:11" s="14" customFormat="1" ht="18.75">
      <c r="A7" s="67"/>
      <c r="B7" s="67"/>
      <c r="C7" s="8" t="s">
        <v>72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18</v>
      </c>
      <c r="I7" s="8" t="s">
        <v>6</v>
      </c>
      <c r="J7" s="8" t="s">
        <v>6</v>
      </c>
      <c r="K7" s="8" t="s">
        <v>19</v>
      </c>
    </row>
    <row r="8" spans="1:11" s="15" customFormat="1" ht="18.75" customHeight="1">
      <c r="A8" s="3" t="s">
        <v>83</v>
      </c>
      <c r="B8" s="23" t="str">
        <f>'расчет ИНП'!B8</f>
        <v>СП Алтайское </v>
      </c>
      <c r="C8" s="21">
        <f>'расчет ИНП'!C8</f>
        <v>688</v>
      </c>
      <c r="D8" s="4">
        <f>'расчет ИНП'!M8</f>
        <v>700.9356527899257</v>
      </c>
      <c r="E8" s="4">
        <f>'расчет ИНП'!N8</f>
        <v>185.6</v>
      </c>
      <c r="F8" s="4">
        <f>'расчет ИНП'!O8</f>
        <v>18.1</v>
      </c>
      <c r="G8" s="4">
        <f>D8+E8+F8+0.5</f>
        <v>905.1356527899258</v>
      </c>
      <c r="H8" s="71">
        <v>45248.9</v>
      </c>
      <c r="I8" s="23"/>
      <c r="J8" s="19">
        <v>0</v>
      </c>
      <c r="K8" s="17">
        <f aca="true" t="shared" si="0" ref="K8:K24">((G8-J8)/C8)/(($G$25-$J$25)/$C$25)</f>
        <v>1.1236148702153326</v>
      </c>
    </row>
    <row r="9" spans="1:11" ht="18.75">
      <c r="A9" s="3" t="s">
        <v>84</v>
      </c>
      <c r="B9" s="23" t="str">
        <f>'расчет ИНП'!B9</f>
        <v>СП Большекударинское </v>
      </c>
      <c r="C9" s="21">
        <f>'расчет ИНП'!C9</f>
        <v>1605</v>
      </c>
      <c r="D9" s="4">
        <f>'расчет ИНП'!M9</f>
        <v>1335.1860482487618</v>
      </c>
      <c r="E9" s="4">
        <f>'расчет ИНП'!N9</f>
        <v>519.2</v>
      </c>
      <c r="F9" s="4">
        <f>'расчет ИНП'!O9</f>
        <v>45</v>
      </c>
      <c r="G9" s="4">
        <f>D9+E9+F9+1.9</f>
        <v>1901.286048248762</v>
      </c>
      <c r="H9" s="72"/>
      <c r="I9" s="23"/>
      <c r="J9" s="19">
        <v>0</v>
      </c>
      <c r="K9" s="17">
        <f t="shared" si="0"/>
        <v>1.0117300958601307</v>
      </c>
    </row>
    <row r="10" spans="1:11" ht="18.75">
      <c r="A10" s="3" t="s">
        <v>85</v>
      </c>
      <c r="B10" s="23" t="str">
        <f>'расчет ИНП'!B10</f>
        <v>СП Большелугское </v>
      </c>
      <c r="C10" s="21">
        <f>'расчет ИНП'!C10</f>
        <v>892</v>
      </c>
      <c r="D10" s="4">
        <f>'расчет ИНП'!M10</f>
        <v>1072.8909539824774</v>
      </c>
      <c r="E10" s="4">
        <f>'расчет ИНП'!N10</f>
        <v>131.4</v>
      </c>
      <c r="F10" s="4">
        <f>'расчет ИНП'!O10</f>
        <v>26</v>
      </c>
      <c r="G10" s="4">
        <f>D10+E10+F10+0.7</f>
        <v>1230.9909539824775</v>
      </c>
      <c r="H10" s="72"/>
      <c r="I10" s="23"/>
      <c r="J10" s="19">
        <v>0</v>
      </c>
      <c r="K10" s="17">
        <f t="shared" si="0"/>
        <v>1.1786429196467185</v>
      </c>
    </row>
    <row r="11" spans="1:11" ht="18.75">
      <c r="A11" s="3" t="s">
        <v>86</v>
      </c>
      <c r="B11" s="23" t="str">
        <f>'расчет ИНП'!B11</f>
        <v>СП Зарянское </v>
      </c>
      <c r="C11" s="21">
        <f>'расчет ИНП'!C11</f>
        <v>557</v>
      </c>
      <c r="D11" s="4">
        <f>'расчет ИНП'!M11</f>
        <v>586.8297799870143</v>
      </c>
      <c r="E11" s="4">
        <f>'расчет ИНП'!N11</f>
        <v>138.5</v>
      </c>
      <c r="F11" s="4">
        <f>'расчет ИНП'!O11</f>
        <v>24</v>
      </c>
      <c r="G11" s="4">
        <f>D11+E11+F11+0.6</f>
        <v>749.9297799870143</v>
      </c>
      <c r="H11" s="72"/>
      <c r="I11" s="23"/>
      <c r="J11" s="19">
        <v>0</v>
      </c>
      <c r="K11" s="17">
        <f t="shared" si="0"/>
        <v>1.1498935800607673</v>
      </c>
    </row>
    <row r="12" spans="1:11" ht="18.75">
      <c r="A12" s="3" t="s">
        <v>87</v>
      </c>
      <c r="B12" s="23" t="str">
        <f>'расчет ИНП'!B12</f>
        <v>СП Кударинское </v>
      </c>
      <c r="C12" s="21">
        <f>'расчет ИНП'!C12</f>
        <v>1492</v>
      </c>
      <c r="D12" s="4">
        <f>'расчет ИНП'!M12</f>
        <v>1308.5120529888977</v>
      </c>
      <c r="E12" s="4">
        <f>'расчет ИНП'!N12</f>
        <v>430.4</v>
      </c>
      <c r="F12" s="4">
        <f>'расчет ИНП'!O12</f>
        <v>39</v>
      </c>
      <c r="G12" s="4">
        <f>D12+E12+F12+6.8</f>
        <v>1784.7120529888978</v>
      </c>
      <c r="H12" s="72"/>
      <c r="I12" s="23"/>
      <c r="J12" s="19">
        <v>0</v>
      </c>
      <c r="K12" s="17">
        <f t="shared" si="0"/>
        <v>1.0216251555023692</v>
      </c>
    </row>
    <row r="13" spans="1:11" ht="18.75">
      <c r="A13" s="3" t="s">
        <v>88</v>
      </c>
      <c r="B13" s="23" t="str">
        <f>'расчет ИНП'!B13</f>
        <v>СП Малокударинское </v>
      </c>
      <c r="C13" s="21">
        <f>'расчет ИНП'!C13</f>
        <v>605</v>
      </c>
      <c r="D13" s="4">
        <f>'расчет ИНП'!M13</f>
        <v>604.6125780843046</v>
      </c>
      <c r="E13" s="4">
        <f>'расчет ИНП'!N13</f>
        <v>293.9</v>
      </c>
      <c r="F13" s="4">
        <f>'расчет ИНП'!O13</f>
        <v>23</v>
      </c>
      <c r="G13" s="4">
        <f>D13+E13+F13</f>
        <v>921.5125780843046</v>
      </c>
      <c r="H13" s="72"/>
      <c r="I13" s="23"/>
      <c r="J13" s="19">
        <v>0</v>
      </c>
      <c r="K13" s="17">
        <f t="shared" si="0"/>
        <v>1.3008826973856655</v>
      </c>
    </row>
    <row r="14" spans="1:11" ht="20.25" customHeight="1">
      <c r="A14" s="3" t="s">
        <v>89</v>
      </c>
      <c r="B14" s="23" t="str">
        <f>'расчет ИНП'!B14</f>
        <v>СП Мурочинское </v>
      </c>
      <c r="C14" s="21">
        <f>'расчет ИНП'!C14</f>
        <v>472</v>
      </c>
      <c r="D14" s="4">
        <f>'расчет ИНП'!M14</f>
        <v>606.0944218462813</v>
      </c>
      <c r="E14" s="4">
        <f>'расчет ИНП'!N14</f>
        <v>27.1</v>
      </c>
      <c r="F14" s="4">
        <f>'расчет ИНП'!O14</f>
        <v>21</v>
      </c>
      <c r="G14" s="4">
        <f>D14+E14+F14+0.2</f>
        <v>654.3944218462814</v>
      </c>
      <c r="H14" s="72"/>
      <c r="I14" s="23"/>
      <c r="J14" s="19">
        <v>0</v>
      </c>
      <c r="K14" s="17">
        <f t="shared" si="0"/>
        <v>1.184103962855495</v>
      </c>
    </row>
    <row r="15" spans="1:11" ht="18.75">
      <c r="A15" s="3" t="s">
        <v>90</v>
      </c>
      <c r="B15" s="23" t="str">
        <f>'расчет ИНП'!B15</f>
        <v>СП Первомайское </v>
      </c>
      <c r="C15" s="21">
        <f>'расчет ИНП'!C15</f>
        <v>418</v>
      </c>
      <c r="D15" s="4">
        <f>'расчет ИНП'!M15</f>
        <v>466.7963975454822</v>
      </c>
      <c r="E15" s="4">
        <f>'расчет ИНП'!N15</f>
        <v>184.5</v>
      </c>
      <c r="F15" s="4">
        <f>'расчет ИНП'!O15</f>
        <v>18</v>
      </c>
      <c r="G15" s="4">
        <f>D15+E15+F15+0.7</f>
        <v>669.9963975454823</v>
      </c>
      <c r="H15" s="72"/>
      <c r="I15" s="23"/>
      <c r="J15" s="19">
        <v>0</v>
      </c>
      <c r="K15" s="17">
        <f t="shared" si="0"/>
        <v>1.3689526611016152</v>
      </c>
    </row>
    <row r="16" spans="1:11" ht="18.75">
      <c r="A16" s="3" t="s">
        <v>91</v>
      </c>
      <c r="B16" s="23" t="str">
        <f>'расчет ИНП'!B16</f>
        <v>СП Субуктуйское </v>
      </c>
      <c r="C16" s="21">
        <f>'расчет ИНП'!C16</f>
        <v>410</v>
      </c>
      <c r="D16" s="4">
        <f>'расчет ИНП'!M16</f>
        <v>444.5680681622618</v>
      </c>
      <c r="E16" s="4">
        <f>'расчет ИНП'!N16</f>
        <v>57.4</v>
      </c>
      <c r="F16" s="4">
        <f>'расчет ИНП'!O16</f>
        <v>16</v>
      </c>
      <c r="G16" s="4">
        <f>D16+E16+F16</f>
        <v>517.9680681622617</v>
      </c>
      <c r="H16" s="72"/>
      <c r="I16" s="23"/>
      <c r="J16" s="19">
        <v>0</v>
      </c>
      <c r="K16" s="17">
        <f t="shared" si="0"/>
        <v>1.078974981938237</v>
      </c>
    </row>
    <row r="17" spans="1:11" ht="18.75">
      <c r="A17" s="3" t="s">
        <v>92</v>
      </c>
      <c r="B17" s="23" t="str">
        <f>'расчет ИНП'!B17</f>
        <v>СП Тамирское </v>
      </c>
      <c r="C17" s="21">
        <f>'расчет ИНП'!C17</f>
        <v>1219</v>
      </c>
      <c r="D17" s="4">
        <f>'расчет ИНП'!M17</f>
        <v>1037.3254923786108</v>
      </c>
      <c r="E17" s="4">
        <f>'расчет ИНП'!N17</f>
        <v>643.9</v>
      </c>
      <c r="F17" s="4">
        <f>'расчет ИНП'!O17</f>
        <v>29</v>
      </c>
      <c r="G17" s="4">
        <f>D17+E17+F17+8</f>
        <v>1718.2254923786109</v>
      </c>
      <c r="H17" s="72"/>
      <c r="I17" s="4"/>
      <c r="J17" s="19">
        <v>0</v>
      </c>
      <c r="K17" s="17">
        <f t="shared" si="0"/>
        <v>1.2038397990538152</v>
      </c>
    </row>
    <row r="18" spans="1:11" ht="18.75">
      <c r="A18" s="3" t="s">
        <v>93</v>
      </c>
      <c r="B18" s="23" t="str">
        <f>'расчет ИНП'!B18</f>
        <v>СП Усть-Киранское </v>
      </c>
      <c r="C18" s="21">
        <f>'расчет ИНП'!C18</f>
        <v>1634</v>
      </c>
      <c r="D18" s="4">
        <f>'расчет ИНП'!M18</f>
        <v>1465.592740796273</v>
      </c>
      <c r="E18" s="4">
        <f>'расчет ИНП'!N18</f>
        <v>398</v>
      </c>
      <c r="F18" s="4">
        <f>'расчет ИНП'!O18</f>
        <v>29</v>
      </c>
      <c r="G18" s="4">
        <f>D18+E18+F18+5.5</f>
        <v>1898.092740796273</v>
      </c>
      <c r="H18" s="72"/>
      <c r="I18" s="4"/>
      <c r="J18" s="19">
        <v>0</v>
      </c>
      <c r="K18" s="17">
        <f t="shared" si="0"/>
        <v>0.992104959264025</v>
      </c>
    </row>
    <row r="19" spans="1:11" ht="18.75">
      <c r="A19" s="3" t="s">
        <v>94</v>
      </c>
      <c r="B19" s="23" t="str">
        <f>'расчет ИНП'!B19</f>
        <v>СП Усть-Кяхтинское </v>
      </c>
      <c r="C19" s="21">
        <f>'расчет ИНП'!C19</f>
        <v>1970</v>
      </c>
      <c r="D19" s="4">
        <f>'расчет ИНП'!M19</f>
        <v>1355.932533870006</v>
      </c>
      <c r="E19" s="4">
        <f>'расчет ИНП'!N19</f>
        <v>354.5</v>
      </c>
      <c r="F19" s="4">
        <f>'расчет ИНП'!O19</f>
        <v>19</v>
      </c>
      <c r="G19" s="4">
        <f>D19+E19+F19+0.6</f>
        <v>1730.0325338700059</v>
      </c>
      <c r="H19" s="72"/>
      <c r="I19" s="4"/>
      <c r="J19" s="19">
        <v>0</v>
      </c>
      <c r="K19" s="17">
        <f t="shared" si="0"/>
        <v>0.7500328561344173</v>
      </c>
    </row>
    <row r="20" spans="1:11" ht="18.75">
      <c r="A20" s="3" t="s">
        <v>95</v>
      </c>
      <c r="B20" s="23" t="str">
        <f>'расчет ИНП'!B20</f>
        <v>СП Хоронхойское </v>
      </c>
      <c r="C20" s="21">
        <f>'расчет ИНП'!C20</f>
        <v>1950</v>
      </c>
      <c r="D20" s="4">
        <f>'расчет ИНП'!M20</f>
        <v>1219.598331683874</v>
      </c>
      <c r="E20" s="4">
        <f>'расчет ИНП'!N20</f>
        <v>425</v>
      </c>
      <c r="F20" s="4">
        <f>'расчет ИНП'!O20</f>
        <v>55</v>
      </c>
      <c r="G20" s="4">
        <f>D20+E20+F20+30</f>
        <v>1729.598331683874</v>
      </c>
      <c r="H20" s="72"/>
      <c r="I20" s="4"/>
      <c r="J20" s="19">
        <v>0</v>
      </c>
      <c r="K20" s="17">
        <f t="shared" si="0"/>
        <v>0.7575353274705999</v>
      </c>
    </row>
    <row r="21" spans="1:11" ht="18.75">
      <c r="A21" s="3" t="s">
        <v>96</v>
      </c>
      <c r="B21" s="23" t="str">
        <f>'расчет ИНП'!B21</f>
        <v>СП Чикойское </v>
      </c>
      <c r="C21" s="21">
        <f>'расчет ИНП'!C21</f>
        <v>732</v>
      </c>
      <c r="D21" s="4">
        <f>'расчет ИНП'!M21</f>
        <v>514.2170130173045</v>
      </c>
      <c r="E21" s="4">
        <f>'расчет ИНП'!N21</f>
        <v>63.3</v>
      </c>
      <c r="F21" s="4">
        <f>'расчет ИНП'!O21</f>
        <v>24</v>
      </c>
      <c r="G21" s="4">
        <f>D21+E21+F21+0.3</f>
        <v>601.8170130173044</v>
      </c>
      <c r="H21" s="72"/>
      <c r="I21" s="4"/>
      <c r="J21" s="19">
        <v>0</v>
      </c>
      <c r="K21" s="17">
        <f t="shared" si="0"/>
        <v>0.7021754225739651</v>
      </c>
    </row>
    <row r="22" spans="1:11" ht="18.75">
      <c r="A22" s="3" t="s">
        <v>97</v>
      </c>
      <c r="B22" s="23" t="str">
        <f>'расчет ИНП'!B22</f>
        <v>СП Шарагольское </v>
      </c>
      <c r="C22" s="21">
        <f>'расчет ИНП'!C22</f>
        <v>951</v>
      </c>
      <c r="D22" s="4">
        <f>'расчет ИНП'!M22</f>
        <v>935.074773443655</v>
      </c>
      <c r="E22" s="4">
        <f>'расчет ИНП'!N22</f>
        <v>202.3</v>
      </c>
      <c r="F22" s="4">
        <f>'расчет ИНП'!O22</f>
        <v>27</v>
      </c>
      <c r="G22" s="4">
        <f>D22+E22+F22</f>
        <v>1164.374773443655</v>
      </c>
      <c r="H22" s="72"/>
      <c r="I22" s="4"/>
      <c r="J22" s="19">
        <v>0</v>
      </c>
      <c r="K22" s="17">
        <f t="shared" si="0"/>
        <v>1.0456937572883565</v>
      </c>
    </row>
    <row r="23" spans="1:11" ht="21" customHeight="1">
      <c r="A23" s="3" t="s">
        <v>98</v>
      </c>
      <c r="B23" s="23" t="str">
        <f>'расчет ИНП'!B23</f>
        <v>ГП Город Кяхта </v>
      </c>
      <c r="C23" s="21">
        <f>'расчет ИНП'!C23</f>
        <v>20042</v>
      </c>
      <c r="D23" s="4">
        <f>'расчет ИНП'!M23</f>
        <v>16819.50718818495</v>
      </c>
      <c r="E23" s="4">
        <f>'расчет ИНП'!N23</f>
        <v>4899</v>
      </c>
      <c r="F23" s="4">
        <f>'расчет ИНП'!O23</f>
        <v>1447.5</v>
      </c>
      <c r="G23" s="4">
        <f>D23+E23+F23+7.6</f>
        <v>23173.60718818495</v>
      </c>
      <c r="H23" s="72"/>
      <c r="I23" s="4"/>
      <c r="J23" s="19">
        <v>0</v>
      </c>
      <c r="K23" s="17">
        <f t="shared" si="0"/>
        <v>0.9875175617984937</v>
      </c>
    </row>
    <row r="24" spans="1:11" ht="18.75">
      <c r="A24" s="3" t="s">
        <v>99</v>
      </c>
      <c r="B24" s="23" t="str">
        <f>'расчет ИНП'!B24</f>
        <v>ГП Наушкинское </v>
      </c>
      <c r="C24" s="21">
        <f>'расчет ИНП'!C24</f>
        <v>3218</v>
      </c>
      <c r="D24" s="4">
        <f>'расчет ИНП'!M24</f>
        <v>3242.3831158470575</v>
      </c>
      <c r="E24" s="4">
        <f>'расчет ИНП'!N24</f>
        <v>400</v>
      </c>
      <c r="F24" s="4">
        <f>'расчет ИНП'!O24</f>
        <v>500</v>
      </c>
      <c r="G24" s="4">
        <f>D24+E24+F24</f>
        <v>4142.3831158470575</v>
      </c>
      <c r="H24" s="73"/>
      <c r="I24" s="4"/>
      <c r="J24" s="19">
        <v>0</v>
      </c>
      <c r="K24" s="17">
        <f t="shared" si="0"/>
        <v>1.0994018607767355</v>
      </c>
    </row>
    <row r="25" spans="1:11" ht="18.75">
      <c r="A25" s="68" t="s">
        <v>2</v>
      </c>
      <c r="B25" s="69"/>
      <c r="C25" s="22">
        <f aca="true" t="shared" si="1" ref="C25:I25">SUM(C8:C24)</f>
        <v>38855</v>
      </c>
      <c r="D25" s="5">
        <f t="shared" si="1"/>
        <v>33716.05714285714</v>
      </c>
      <c r="E25" s="5">
        <f t="shared" si="1"/>
        <v>9354</v>
      </c>
      <c r="F25" s="5">
        <f t="shared" si="1"/>
        <v>2360.6</v>
      </c>
      <c r="G25" s="5">
        <f t="shared" si="1"/>
        <v>45494.05714285714</v>
      </c>
      <c r="H25" s="20">
        <f t="shared" si="1"/>
        <v>45248.9</v>
      </c>
      <c r="I25" s="5">
        <f t="shared" si="1"/>
        <v>0</v>
      </c>
      <c r="J25" s="20">
        <f>SUM(J8:J24)</f>
        <v>0</v>
      </c>
      <c r="K25" s="25">
        <f>((G25+H25-I25)/C25)/(($G$25+$H$25)/$C$25)</f>
        <v>1</v>
      </c>
    </row>
    <row r="28" ht="18.75">
      <c r="H28" s="44"/>
    </row>
    <row r="31" spans="1:11" s="2" customFormat="1" ht="18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sheetProtection/>
  <mergeCells count="11">
    <mergeCell ref="K5:K6"/>
    <mergeCell ref="G5:G6"/>
    <mergeCell ref="I5:I6"/>
    <mergeCell ref="J5:J6"/>
    <mergeCell ref="A3:B3"/>
    <mergeCell ref="C5:C6"/>
    <mergeCell ref="H5:H6"/>
    <mergeCell ref="A25:B25"/>
    <mergeCell ref="B5:B7"/>
    <mergeCell ref="A5:A7"/>
    <mergeCell ref="H8:H24"/>
  </mergeCells>
  <printOptions/>
  <pageMargins left="0.75" right="0.75" top="1" bottom="1" header="0.5" footer="0.5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8"/>
  <sheetViews>
    <sheetView view="pageBreakPreview" zoomScale="60" zoomScaleNormal="75" zoomScalePageLayoutView="0" workbookViewId="0" topLeftCell="A1">
      <pane xSplit="2" topLeftCell="M1" activePane="topRight" state="frozen"/>
      <selection pane="topLeft" activeCell="A1" sqref="A1"/>
      <selection pane="topRight" activeCell="X35" sqref="X35"/>
    </sheetView>
  </sheetViews>
  <sheetFormatPr defaultColWidth="9.140625" defaultRowHeight="12.75"/>
  <cols>
    <col min="1" max="1" width="7.421875" style="1" customWidth="1"/>
    <col min="2" max="2" width="32.140625" style="1" customWidth="1"/>
    <col min="3" max="3" width="17.421875" style="1" customWidth="1"/>
    <col min="4" max="4" width="13.140625" style="1" customWidth="1"/>
    <col min="5" max="5" width="16.7109375" style="1" customWidth="1"/>
    <col min="6" max="6" width="12.421875" style="1" customWidth="1"/>
    <col min="7" max="7" width="12.57421875" style="1" customWidth="1"/>
    <col min="8" max="8" width="12.28125" style="1" customWidth="1"/>
    <col min="9" max="9" width="14.28125" style="1" customWidth="1"/>
    <col min="10" max="10" width="14.00390625" style="1" customWidth="1"/>
    <col min="11" max="11" width="13.7109375" style="1" customWidth="1"/>
    <col min="12" max="12" width="15.140625" style="1" customWidth="1"/>
    <col min="13" max="13" width="13.28125" style="1" customWidth="1"/>
    <col min="14" max="14" width="13.00390625" style="1" customWidth="1"/>
    <col min="15" max="15" width="12.140625" style="1" customWidth="1"/>
    <col min="16" max="16" width="13.00390625" style="1" customWidth="1"/>
    <col min="17" max="17" width="14.00390625" style="1" customWidth="1"/>
    <col min="18" max="18" width="12.28125" style="1" customWidth="1"/>
    <col min="19" max="20" width="13.57421875" style="1" customWidth="1"/>
    <col min="21" max="21" width="11.8515625" style="1" customWidth="1"/>
    <col min="22" max="22" width="16.00390625" style="1" customWidth="1"/>
    <col min="23" max="23" width="12.28125" style="1" customWidth="1"/>
    <col min="24" max="24" width="12.57421875" style="1" customWidth="1"/>
    <col min="25" max="26" width="15.00390625" style="1" customWidth="1"/>
    <col min="27" max="27" width="13.57421875" style="1" customWidth="1"/>
    <col min="28" max="28" width="12.28125" style="1" customWidth="1"/>
    <col min="29" max="29" width="13.00390625" style="1" customWidth="1"/>
    <col min="30" max="30" width="12.57421875" style="1" customWidth="1"/>
    <col min="31" max="31" width="13.28125" style="1" customWidth="1"/>
    <col min="32" max="32" width="11.8515625" style="1" customWidth="1"/>
    <col min="33" max="33" width="16.421875" style="1" customWidth="1"/>
    <col min="34" max="16384" width="9.140625" style="1" customWidth="1"/>
  </cols>
  <sheetData>
    <row r="1" spans="1:2" s="2" customFormat="1" ht="18.75">
      <c r="A1" s="9" t="s">
        <v>21</v>
      </c>
      <c r="B1" s="9"/>
    </row>
    <row r="2" s="2" customFormat="1" ht="18.75"/>
    <row r="3" spans="1:3" s="2" customFormat="1" ht="18.75">
      <c r="A3" s="54" t="s">
        <v>1</v>
      </c>
      <c r="B3" s="54"/>
      <c r="C3" s="2" t="s">
        <v>116</v>
      </c>
    </row>
    <row r="4" s="2" customFormat="1" ht="18.75"/>
    <row r="5" spans="1:33" s="10" customFormat="1" ht="36" customHeight="1">
      <c r="A5" s="66" t="s">
        <v>4</v>
      </c>
      <c r="B5" s="66" t="s">
        <v>0</v>
      </c>
      <c r="C5" s="66" t="s">
        <v>8</v>
      </c>
      <c r="D5" s="74" t="s">
        <v>64</v>
      </c>
      <c r="E5" s="74"/>
      <c r="F5" s="81" t="s">
        <v>22</v>
      </c>
      <c r="G5" s="82"/>
      <c r="H5" s="83"/>
      <c r="I5" s="75" t="s">
        <v>35</v>
      </c>
      <c r="J5" s="76"/>
      <c r="K5" s="76"/>
      <c r="L5" s="76"/>
      <c r="M5" s="76"/>
      <c r="N5" s="77"/>
      <c r="O5" s="75" t="s">
        <v>42</v>
      </c>
      <c r="P5" s="76"/>
      <c r="Q5" s="76"/>
      <c r="R5" s="76"/>
      <c r="S5" s="76"/>
      <c r="T5" s="77"/>
      <c r="U5" s="75" t="s">
        <v>138</v>
      </c>
      <c r="V5" s="76"/>
      <c r="W5" s="76"/>
      <c r="X5" s="76"/>
      <c r="Y5" s="76"/>
      <c r="Z5" s="77"/>
      <c r="AA5" s="75" t="s">
        <v>55</v>
      </c>
      <c r="AB5" s="76"/>
      <c r="AC5" s="76"/>
      <c r="AD5" s="76"/>
      <c r="AE5" s="76"/>
      <c r="AF5" s="77"/>
      <c r="AG5" s="66" t="s">
        <v>62</v>
      </c>
    </row>
    <row r="6" spans="1:33" s="13" customFormat="1" ht="117" customHeight="1">
      <c r="A6" s="70"/>
      <c r="B6" s="70"/>
      <c r="C6" s="67"/>
      <c r="D6" s="7" t="s">
        <v>65</v>
      </c>
      <c r="E6" s="7" t="s">
        <v>66</v>
      </c>
      <c r="F6" s="6" t="s">
        <v>24</v>
      </c>
      <c r="G6" s="6" t="s">
        <v>23</v>
      </c>
      <c r="H6" s="6" t="s">
        <v>25</v>
      </c>
      <c r="I6" s="6" t="s">
        <v>29</v>
      </c>
      <c r="J6" s="6" t="s">
        <v>30</v>
      </c>
      <c r="K6" s="6" t="s">
        <v>31</v>
      </c>
      <c r="L6" s="6" t="s">
        <v>32</v>
      </c>
      <c r="M6" s="6" t="s">
        <v>33</v>
      </c>
      <c r="N6" s="6" t="s">
        <v>34</v>
      </c>
      <c r="O6" s="6" t="s">
        <v>29</v>
      </c>
      <c r="P6" s="6" t="s">
        <v>30</v>
      </c>
      <c r="Q6" s="6" t="s">
        <v>31</v>
      </c>
      <c r="R6" s="6" t="s">
        <v>32</v>
      </c>
      <c r="S6" s="6" t="s">
        <v>33</v>
      </c>
      <c r="T6" s="6" t="s">
        <v>34</v>
      </c>
      <c r="U6" s="6" t="s">
        <v>29</v>
      </c>
      <c r="V6" s="6" t="s">
        <v>30</v>
      </c>
      <c r="W6" s="6" t="s">
        <v>31</v>
      </c>
      <c r="X6" s="6" t="s">
        <v>32</v>
      </c>
      <c r="Y6" s="6" t="s">
        <v>33</v>
      </c>
      <c r="Z6" s="6" t="s">
        <v>34</v>
      </c>
      <c r="AA6" s="6" t="s">
        <v>29</v>
      </c>
      <c r="AB6" s="6" t="s">
        <v>30</v>
      </c>
      <c r="AC6" s="6" t="s">
        <v>31</v>
      </c>
      <c r="AD6" s="6" t="s">
        <v>32</v>
      </c>
      <c r="AE6" s="6" t="s">
        <v>33</v>
      </c>
      <c r="AF6" s="6" t="s">
        <v>34</v>
      </c>
      <c r="AG6" s="67"/>
    </row>
    <row r="7" spans="1:33" s="14" customFormat="1" ht="18.75">
      <c r="A7" s="67"/>
      <c r="B7" s="67"/>
      <c r="C7" s="8" t="s">
        <v>72</v>
      </c>
      <c r="D7" s="8"/>
      <c r="E7" s="8"/>
      <c r="F7" s="8" t="s">
        <v>26</v>
      </c>
      <c r="G7" s="8" t="s">
        <v>27</v>
      </c>
      <c r="H7" s="8" t="s">
        <v>28</v>
      </c>
      <c r="I7" s="8" t="s">
        <v>36</v>
      </c>
      <c r="J7" s="8" t="s">
        <v>37</v>
      </c>
      <c r="K7" s="8" t="s">
        <v>38</v>
      </c>
      <c r="L7" s="8" t="s">
        <v>39</v>
      </c>
      <c r="M7" s="8" t="s">
        <v>40</v>
      </c>
      <c r="N7" s="8" t="s">
        <v>41</v>
      </c>
      <c r="O7" s="8" t="s">
        <v>43</v>
      </c>
      <c r="P7" s="8" t="s">
        <v>44</v>
      </c>
      <c r="Q7" s="8" t="s">
        <v>45</v>
      </c>
      <c r="R7" s="8" t="s">
        <v>46</v>
      </c>
      <c r="S7" s="8" t="s">
        <v>47</v>
      </c>
      <c r="T7" s="8" t="s">
        <v>48</v>
      </c>
      <c r="U7" s="8" t="s">
        <v>49</v>
      </c>
      <c r="V7" s="8" t="s">
        <v>50</v>
      </c>
      <c r="W7" s="8" t="s">
        <v>51</v>
      </c>
      <c r="X7" s="8" t="s">
        <v>52</v>
      </c>
      <c r="Y7" s="8" t="s">
        <v>53</v>
      </c>
      <c r="Z7" s="8" t="s">
        <v>54</v>
      </c>
      <c r="AA7" s="8" t="s">
        <v>56</v>
      </c>
      <c r="AB7" s="8" t="s">
        <v>57</v>
      </c>
      <c r="AC7" s="8" t="s">
        <v>58</v>
      </c>
      <c r="AD7" s="8" t="s">
        <v>59</v>
      </c>
      <c r="AE7" s="8" t="s">
        <v>60</v>
      </c>
      <c r="AF7" s="8" t="s">
        <v>61</v>
      </c>
      <c r="AG7" s="8" t="s">
        <v>63</v>
      </c>
    </row>
    <row r="8" spans="1:33" s="15" customFormat="1" ht="18.75">
      <c r="A8" s="3" t="s">
        <v>83</v>
      </c>
      <c r="B8" s="23" t="str">
        <f>'расчет ИНП'!B8</f>
        <v>СП Алтайское </v>
      </c>
      <c r="C8" s="11">
        <f>ИНП!C8</f>
        <v>688</v>
      </c>
      <c r="D8" s="21">
        <v>0</v>
      </c>
      <c r="E8" s="21">
        <v>0</v>
      </c>
      <c r="F8" s="4">
        <f aca="true" t="shared" si="0" ref="F8:F24">(0.4*C8+0.6*(AVERAGE($C$8:$C$24)))/C8</f>
        <v>2.3932455540355675</v>
      </c>
      <c r="G8" s="4">
        <f>1+E8/C8</f>
        <v>1</v>
      </c>
      <c r="H8" s="4">
        <f>(D8/C8+1)</f>
        <v>1</v>
      </c>
      <c r="I8" s="11">
        <f>C8*F8</f>
        <v>1646.5529411764705</v>
      </c>
      <c r="J8" s="11">
        <f>C8*H8</f>
        <v>688</v>
      </c>
      <c r="K8" s="11">
        <f>C8*F8</f>
        <v>1646.5529411764705</v>
      </c>
      <c r="L8" s="11">
        <f>C8*F8</f>
        <v>1646.5529411764705</v>
      </c>
      <c r="M8" s="11">
        <f>C8*F8</f>
        <v>1646.5529411764705</v>
      </c>
      <c r="N8" s="11">
        <f>C8*G8</f>
        <v>688</v>
      </c>
      <c r="O8" s="4">
        <f aca="true" t="shared" si="1" ref="O8:O24">(I8/$C8)/($I$25/$C$25)</f>
        <v>2.3932455540355675</v>
      </c>
      <c r="P8" s="4">
        <f aca="true" t="shared" si="2" ref="P8:P24">(J8/$C8)/($J$25/$C$25)</f>
        <v>0.6259767040969212</v>
      </c>
      <c r="Q8" s="4">
        <f aca="true" t="shared" si="3" ref="Q8:Q24">(K8/$C8)/($K$25/$C$25)</f>
        <v>2.3932455540355675</v>
      </c>
      <c r="R8" s="4">
        <f aca="true" t="shared" si="4" ref="R8:R24">(L8/$C8)/($L$25/$C$25)</f>
        <v>2.3932455540355675</v>
      </c>
      <c r="S8" s="4">
        <f aca="true" t="shared" si="5" ref="S8:S24">(M8/$C8)/($M$25/$C$25)</f>
        <v>2.3932455540355675</v>
      </c>
      <c r="T8" s="4">
        <f aca="true" t="shared" si="6" ref="T8:T24">(N8/$C8)/($N$25/$C$25)</f>
        <v>0.8636363636363636</v>
      </c>
      <c r="U8" s="71">
        <v>29808.4</v>
      </c>
      <c r="V8" s="71">
        <v>50686.3</v>
      </c>
      <c r="W8" s="71">
        <v>2167.4</v>
      </c>
      <c r="X8" s="71">
        <v>17890.9</v>
      </c>
      <c r="Y8" s="71">
        <v>667.3</v>
      </c>
      <c r="Z8" s="71">
        <v>5137.5</v>
      </c>
      <c r="AA8" s="79">
        <f aca="true" t="shared" si="7" ref="AA8:AF8">U8/($U$8+$V$8+$W$8+$X$8+$Y$8+$Z$8)</f>
        <v>0.28026529318959215</v>
      </c>
      <c r="AB8" s="79">
        <f t="shared" si="7"/>
        <v>0.47656401317063724</v>
      </c>
      <c r="AC8" s="79">
        <f t="shared" si="7"/>
        <v>0.020378383155725297</v>
      </c>
      <c r="AD8" s="79">
        <f t="shared" si="7"/>
        <v>0.16821427295412278</v>
      </c>
      <c r="AE8" s="79">
        <f t="shared" si="7"/>
        <v>0.006274104955160787</v>
      </c>
      <c r="AF8" s="79">
        <f t="shared" si="7"/>
        <v>0.048303932574761795</v>
      </c>
      <c r="AG8" s="17">
        <f>$AA$8*O8+$AB$8*P8+$AC$8*Q8+$AD$8*R8+$AE$8*S8+$AF$8*T8</f>
        <v>1.4771426793585705</v>
      </c>
    </row>
    <row r="9" spans="1:33" ht="18.75">
      <c r="A9" s="3" t="s">
        <v>84</v>
      </c>
      <c r="B9" s="23" t="str">
        <f>'расчет ИНП'!B9</f>
        <v>СП Большекударинское </v>
      </c>
      <c r="C9" s="11">
        <f>ИНП!C9</f>
        <v>1605</v>
      </c>
      <c r="D9" s="21">
        <v>0</v>
      </c>
      <c r="E9" s="21">
        <f>345+10+205+377</f>
        <v>937</v>
      </c>
      <c r="F9" s="4">
        <f t="shared" si="0"/>
        <v>1.2544255085211655</v>
      </c>
      <c r="G9" s="4">
        <f aca="true" t="shared" si="8" ref="G9:G24">1+E9/C9</f>
        <v>1.5838006230529595</v>
      </c>
      <c r="H9" s="4">
        <f aca="true" t="shared" si="9" ref="H9:H24">(D9/C9+1)</f>
        <v>1</v>
      </c>
      <c r="I9" s="11">
        <f>C9*F9</f>
        <v>2013.3529411764707</v>
      </c>
      <c r="J9" s="11">
        <f aca="true" t="shared" si="10" ref="J9:J24">C9*H9</f>
        <v>1605</v>
      </c>
      <c r="K9" s="11">
        <f aca="true" t="shared" si="11" ref="K9:K24">C9*F9</f>
        <v>2013.3529411764707</v>
      </c>
      <c r="L9" s="11">
        <f aca="true" t="shared" si="12" ref="L9:L24">C9*F9</f>
        <v>2013.3529411764707</v>
      </c>
      <c r="M9" s="11">
        <f aca="true" t="shared" si="13" ref="M9:M24">C9*F9</f>
        <v>2013.3529411764707</v>
      </c>
      <c r="N9" s="11">
        <f aca="true" t="shared" si="14" ref="N9:N24">C9*G9</f>
        <v>2542</v>
      </c>
      <c r="O9" s="4">
        <f t="shared" si="1"/>
        <v>1.2544255085211655</v>
      </c>
      <c r="P9" s="4">
        <f t="shared" si="2"/>
        <v>0.6259767040969212</v>
      </c>
      <c r="Q9" s="4">
        <f t="shared" si="3"/>
        <v>1.2544255085211655</v>
      </c>
      <c r="R9" s="4">
        <f t="shared" si="4"/>
        <v>1.2544255085211655</v>
      </c>
      <c r="S9" s="4">
        <f t="shared" si="5"/>
        <v>1.2544255085211655</v>
      </c>
      <c r="T9" s="4">
        <f t="shared" si="6"/>
        <v>1.367827810818465</v>
      </c>
      <c r="U9" s="78"/>
      <c r="V9" s="78"/>
      <c r="W9" s="78"/>
      <c r="X9" s="78"/>
      <c r="Y9" s="78"/>
      <c r="Z9" s="78"/>
      <c r="AA9" s="78"/>
      <c r="AB9" s="80"/>
      <c r="AC9" s="78"/>
      <c r="AD9" s="78"/>
      <c r="AE9" s="78"/>
      <c r="AF9" s="78"/>
      <c r="AG9" s="17">
        <f aca="true" t="shared" si="15" ref="AG9:AG24">$AA$8*O9+$AB$8*P9+$AC$8*Q9+$AD$8*R9+$AE$8*S9+$AF$8*T9</f>
        <v>0.9604072013764502</v>
      </c>
    </row>
    <row r="10" spans="1:33" ht="18.75">
      <c r="A10" s="3" t="s">
        <v>85</v>
      </c>
      <c r="B10" s="23" t="str">
        <f>'расчет ИНП'!B10</f>
        <v>СП Большелугское </v>
      </c>
      <c r="C10" s="11">
        <f>ИНП!C10</f>
        <v>892</v>
      </c>
      <c r="D10" s="21">
        <v>0</v>
      </c>
      <c r="E10" s="21">
        <f>14+268</f>
        <v>282</v>
      </c>
      <c r="F10" s="4">
        <f t="shared" si="0"/>
        <v>1.9373911896597202</v>
      </c>
      <c r="G10" s="4">
        <f t="shared" si="8"/>
        <v>1.3161434977578477</v>
      </c>
      <c r="H10" s="4">
        <f t="shared" si="9"/>
        <v>1</v>
      </c>
      <c r="I10" s="11">
        <f aca="true" t="shared" si="16" ref="I10:I24">C10*F10</f>
        <v>1728.1529411764704</v>
      </c>
      <c r="J10" s="11">
        <f t="shared" si="10"/>
        <v>892</v>
      </c>
      <c r="K10" s="11">
        <f t="shared" si="11"/>
        <v>1728.1529411764704</v>
      </c>
      <c r="L10" s="11">
        <f t="shared" si="12"/>
        <v>1728.1529411764704</v>
      </c>
      <c r="M10" s="11">
        <f t="shared" si="13"/>
        <v>1728.1529411764704</v>
      </c>
      <c r="N10" s="11">
        <f t="shared" si="14"/>
        <v>1174.0000000000002</v>
      </c>
      <c r="O10" s="4">
        <f t="shared" si="1"/>
        <v>1.9373911896597202</v>
      </c>
      <c r="P10" s="4">
        <f t="shared" si="2"/>
        <v>0.6259767040969212</v>
      </c>
      <c r="Q10" s="4">
        <f t="shared" si="3"/>
        <v>1.9373911896597202</v>
      </c>
      <c r="R10" s="4">
        <f t="shared" si="4"/>
        <v>1.9373911896597202</v>
      </c>
      <c r="S10" s="4">
        <f t="shared" si="5"/>
        <v>1.9373911896597202</v>
      </c>
      <c r="T10" s="4">
        <f t="shared" si="6"/>
        <v>1.1366693844272322</v>
      </c>
      <c r="U10" s="78"/>
      <c r="V10" s="78"/>
      <c r="W10" s="78"/>
      <c r="X10" s="78"/>
      <c r="Y10" s="78"/>
      <c r="Z10" s="78"/>
      <c r="AA10" s="78"/>
      <c r="AB10" s="80"/>
      <c r="AC10" s="78"/>
      <c r="AD10" s="78"/>
      <c r="AE10" s="78"/>
      <c r="AF10" s="78"/>
      <c r="AG10" s="17">
        <f t="shared" si="15"/>
        <v>1.2737402273987144</v>
      </c>
    </row>
    <row r="11" spans="1:33" ht="18.75">
      <c r="A11" s="3" t="s">
        <v>86</v>
      </c>
      <c r="B11" s="23" t="str">
        <f>'расчет ИНП'!B11</f>
        <v>СП Зарянское </v>
      </c>
      <c r="C11" s="11">
        <f>ИНП!C11</f>
        <v>557</v>
      </c>
      <c r="D11" s="21">
        <v>0</v>
      </c>
      <c r="E11" s="21">
        <f>428+145</f>
        <v>573</v>
      </c>
      <c r="F11" s="4">
        <f t="shared" si="0"/>
        <v>2.8620340057028195</v>
      </c>
      <c r="G11" s="4">
        <f t="shared" si="8"/>
        <v>2.0287253141831236</v>
      </c>
      <c r="H11" s="4">
        <f t="shared" si="9"/>
        <v>1</v>
      </c>
      <c r="I11" s="11">
        <f t="shared" si="16"/>
        <v>1594.1529411764704</v>
      </c>
      <c r="J11" s="11">
        <f t="shared" si="10"/>
        <v>557</v>
      </c>
      <c r="K11" s="11">
        <f t="shared" si="11"/>
        <v>1594.1529411764704</v>
      </c>
      <c r="L11" s="11">
        <f t="shared" si="12"/>
        <v>1594.1529411764704</v>
      </c>
      <c r="M11" s="11">
        <f t="shared" si="13"/>
        <v>1594.1529411764704</v>
      </c>
      <c r="N11" s="11">
        <f t="shared" si="14"/>
        <v>1129.9999999999998</v>
      </c>
      <c r="O11" s="4">
        <f t="shared" si="1"/>
        <v>2.8620340057028195</v>
      </c>
      <c r="P11" s="4">
        <f t="shared" si="2"/>
        <v>0.6259767040969212</v>
      </c>
      <c r="Q11" s="4">
        <f t="shared" si="3"/>
        <v>2.8620340057028195</v>
      </c>
      <c r="R11" s="4">
        <f t="shared" si="4"/>
        <v>2.8620340057028195</v>
      </c>
      <c r="S11" s="4">
        <f t="shared" si="5"/>
        <v>2.8620340057028195</v>
      </c>
      <c r="T11" s="4">
        <f t="shared" si="6"/>
        <v>1.752080953158152</v>
      </c>
      <c r="U11" s="78"/>
      <c r="V11" s="78"/>
      <c r="W11" s="78"/>
      <c r="X11" s="78"/>
      <c r="Y11" s="78"/>
      <c r="Z11" s="78"/>
      <c r="AA11" s="78"/>
      <c r="AB11" s="80"/>
      <c r="AC11" s="78"/>
      <c r="AD11" s="78"/>
      <c r="AE11" s="78"/>
      <c r="AF11" s="78"/>
      <c r="AG11" s="17">
        <f t="shared" si="15"/>
        <v>1.742794466958738</v>
      </c>
    </row>
    <row r="12" spans="1:33" ht="18.75">
      <c r="A12" s="3" t="s">
        <v>87</v>
      </c>
      <c r="B12" s="23" t="str">
        <f>'расчет ИНП'!B12</f>
        <v>СП Кударинское </v>
      </c>
      <c r="C12" s="11">
        <f>ИНП!C12</f>
        <v>1492</v>
      </c>
      <c r="D12" s="21">
        <v>0</v>
      </c>
      <c r="E12" s="21">
        <f>87+85</f>
        <v>172</v>
      </c>
      <c r="F12" s="4">
        <f t="shared" si="0"/>
        <v>1.3191373600378489</v>
      </c>
      <c r="G12" s="4">
        <f t="shared" si="8"/>
        <v>1.1152815013404827</v>
      </c>
      <c r="H12" s="4">
        <f t="shared" si="9"/>
        <v>1</v>
      </c>
      <c r="I12" s="11">
        <f t="shared" si="16"/>
        <v>1968.1529411764704</v>
      </c>
      <c r="J12" s="11">
        <f t="shared" si="10"/>
        <v>1492</v>
      </c>
      <c r="K12" s="11">
        <f t="shared" si="11"/>
        <v>1968.1529411764704</v>
      </c>
      <c r="L12" s="11">
        <f t="shared" si="12"/>
        <v>1968.1529411764704</v>
      </c>
      <c r="M12" s="11">
        <f t="shared" si="13"/>
        <v>1968.1529411764704</v>
      </c>
      <c r="N12" s="11">
        <f t="shared" si="14"/>
        <v>1664.0000000000002</v>
      </c>
      <c r="O12" s="4">
        <f t="shared" si="1"/>
        <v>1.3191373600378489</v>
      </c>
      <c r="P12" s="4">
        <f t="shared" si="2"/>
        <v>0.6259767040969212</v>
      </c>
      <c r="Q12" s="4">
        <f t="shared" si="3"/>
        <v>1.3191373600378489</v>
      </c>
      <c r="R12" s="4">
        <f t="shared" si="4"/>
        <v>1.3191373600378489</v>
      </c>
      <c r="S12" s="4">
        <f t="shared" si="5"/>
        <v>1.3191373600378489</v>
      </c>
      <c r="T12" s="4">
        <f t="shared" si="6"/>
        <v>0.9631976602485987</v>
      </c>
      <c r="U12" s="78"/>
      <c r="V12" s="78"/>
      <c r="W12" s="78"/>
      <c r="X12" s="78"/>
      <c r="Y12" s="78"/>
      <c r="Z12" s="78"/>
      <c r="AA12" s="78"/>
      <c r="AB12" s="80"/>
      <c r="AC12" s="78"/>
      <c r="AD12" s="78"/>
      <c r="AE12" s="78"/>
      <c r="AF12" s="78"/>
      <c r="AG12" s="17">
        <f t="shared" si="15"/>
        <v>0.9716086488113482</v>
      </c>
    </row>
    <row r="13" spans="1:33" ht="18.75">
      <c r="A13" s="3" t="s">
        <v>88</v>
      </c>
      <c r="B13" s="23" t="str">
        <f>'расчет ИНП'!B13</f>
        <v>СП Малокударинское </v>
      </c>
      <c r="C13" s="11">
        <f>ИНП!C13</f>
        <v>605</v>
      </c>
      <c r="D13" s="21">
        <v>0</v>
      </c>
      <c r="E13" s="21">
        <f>180+173+270</f>
        <v>623</v>
      </c>
      <c r="F13" s="4">
        <f t="shared" si="0"/>
        <v>2.6666990763247447</v>
      </c>
      <c r="G13" s="4">
        <f t="shared" si="8"/>
        <v>2.0297520661157025</v>
      </c>
      <c r="H13" s="4">
        <f t="shared" si="9"/>
        <v>1</v>
      </c>
      <c r="I13" s="11">
        <f t="shared" si="16"/>
        <v>1613.3529411764705</v>
      </c>
      <c r="J13" s="11">
        <f t="shared" si="10"/>
        <v>605</v>
      </c>
      <c r="K13" s="11">
        <f t="shared" si="11"/>
        <v>1613.3529411764705</v>
      </c>
      <c r="L13" s="11">
        <f t="shared" si="12"/>
        <v>1613.3529411764705</v>
      </c>
      <c r="M13" s="11">
        <f t="shared" si="13"/>
        <v>1613.3529411764705</v>
      </c>
      <c r="N13" s="11">
        <f t="shared" si="14"/>
        <v>1228</v>
      </c>
      <c r="O13" s="4">
        <f t="shared" si="1"/>
        <v>2.6666990763247447</v>
      </c>
      <c r="P13" s="4">
        <f t="shared" si="2"/>
        <v>0.6259767040969212</v>
      </c>
      <c r="Q13" s="4">
        <f t="shared" si="3"/>
        <v>2.6666990763247447</v>
      </c>
      <c r="R13" s="4">
        <f t="shared" si="4"/>
        <v>2.6666990763247447</v>
      </c>
      <c r="S13" s="4">
        <f t="shared" si="5"/>
        <v>2.6666990763247447</v>
      </c>
      <c r="T13" s="4">
        <f t="shared" si="6"/>
        <v>1.7529676934635612</v>
      </c>
      <c r="U13" s="78"/>
      <c r="V13" s="78"/>
      <c r="W13" s="78"/>
      <c r="X13" s="78"/>
      <c r="Y13" s="78"/>
      <c r="Z13" s="78"/>
      <c r="AA13" s="78"/>
      <c r="AB13" s="80"/>
      <c r="AC13" s="78"/>
      <c r="AD13" s="78"/>
      <c r="AE13" s="78"/>
      <c r="AF13" s="78"/>
      <c r="AG13" s="17">
        <f t="shared" si="15"/>
        <v>1.6500274137395798</v>
      </c>
    </row>
    <row r="14" spans="1:33" ht="20.25" customHeight="1">
      <c r="A14" s="3" t="s">
        <v>89</v>
      </c>
      <c r="B14" s="23" t="str">
        <f>'расчет ИНП'!B14</f>
        <v>СП Мурочинское </v>
      </c>
      <c r="C14" s="11">
        <f>ИНП!C14</f>
        <v>472</v>
      </c>
      <c r="D14" s="21">
        <v>0</v>
      </c>
      <c r="E14" s="21">
        <f>319+153</f>
        <v>472</v>
      </c>
      <c r="F14" s="4">
        <f t="shared" si="0"/>
        <v>3.305408773678963</v>
      </c>
      <c r="G14" s="4">
        <f t="shared" si="8"/>
        <v>2</v>
      </c>
      <c r="H14" s="4">
        <f t="shared" si="9"/>
        <v>1</v>
      </c>
      <c r="I14" s="11">
        <f t="shared" si="16"/>
        <v>1560.1529411764704</v>
      </c>
      <c r="J14" s="11">
        <f t="shared" si="10"/>
        <v>472</v>
      </c>
      <c r="K14" s="11">
        <f t="shared" si="11"/>
        <v>1560.1529411764704</v>
      </c>
      <c r="L14" s="11">
        <f t="shared" si="12"/>
        <v>1560.1529411764704</v>
      </c>
      <c r="M14" s="11">
        <f t="shared" si="13"/>
        <v>1560.1529411764704</v>
      </c>
      <c r="N14" s="11">
        <f t="shared" si="14"/>
        <v>944</v>
      </c>
      <c r="O14" s="4">
        <f t="shared" si="1"/>
        <v>3.305408773678963</v>
      </c>
      <c r="P14" s="4">
        <f t="shared" si="2"/>
        <v>0.6259767040969212</v>
      </c>
      <c r="Q14" s="4">
        <f t="shared" si="3"/>
        <v>3.305408773678963</v>
      </c>
      <c r="R14" s="4">
        <f t="shared" si="4"/>
        <v>3.305408773678963</v>
      </c>
      <c r="S14" s="4">
        <f t="shared" si="5"/>
        <v>3.305408773678963</v>
      </c>
      <c r="T14" s="4">
        <f t="shared" si="6"/>
        <v>1.7272727272727273</v>
      </c>
      <c r="U14" s="78"/>
      <c r="V14" s="78"/>
      <c r="W14" s="78"/>
      <c r="X14" s="78"/>
      <c r="Y14" s="78"/>
      <c r="Z14" s="78"/>
      <c r="AA14" s="78"/>
      <c r="AB14" s="80"/>
      <c r="AC14" s="78"/>
      <c r="AD14" s="78"/>
      <c r="AE14" s="78"/>
      <c r="AF14" s="78"/>
      <c r="AG14" s="17">
        <f t="shared" si="15"/>
        <v>1.9522576964014313</v>
      </c>
    </row>
    <row r="15" spans="1:33" ht="18.75">
      <c r="A15" s="3" t="s">
        <v>90</v>
      </c>
      <c r="B15" s="23" t="str">
        <f>'расчет ИНП'!B15</f>
        <v>СП Первомайское </v>
      </c>
      <c r="C15" s="11">
        <f>ИНП!C15</f>
        <v>418</v>
      </c>
      <c r="D15" s="21">
        <v>0</v>
      </c>
      <c r="E15" s="21">
        <f>313+122</f>
        <v>435</v>
      </c>
      <c r="F15" s="4">
        <f t="shared" si="0"/>
        <v>3.680748663101604</v>
      </c>
      <c r="G15" s="4">
        <f t="shared" si="8"/>
        <v>2.0406698564593304</v>
      </c>
      <c r="H15" s="4">
        <f t="shared" si="9"/>
        <v>1</v>
      </c>
      <c r="I15" s="11">
        <f t="shared" si="16"/>
        <v>1538.5529411764705</v>
      </c>
      <c r="J15" s="11">
        <f t="shared" si="10"/>
        <v>418</v>
      </c>
      <c r="K15" s="11">
        <f t="shared" si="11"/>
        <v>1538.5529411764705</v>
      </c>
      <c r="L15" s="11">
        <f t="shared" si="12"/>
        <v>1538.5529411764705</v>
      </c>
      <c r="M15" s="11">
        <f t="shared" si="13"/>
        <v>1538.5529411764705</v>
      </c>
      <c r="N15" s="11">
        <f t="shared" si="14"/>
        <v>853.0000000000001</v>
      </c>
      <c r="O15" s="4">
        <f t="shared" si="1"/>
        <v>3.680748663101604</v>
      </c>
      <c r="P15" s="4">
        <f t="shared" si="2"/>
        <v>0.6259767040969212</v>
      </c>
      <c r="Q15" s="4">
        <f t="shared" si="3"/>
        <v>3.680748663101604</v>
      </c>
      <c r="R15" s="4">
        <f t="shared" si="4"/>
        <v>3.680748663101604</v>
      </c>
      <c r="S15" s="4">
        <f t="shared" si="5"/>
        <v>3.680748663101604</v>
      </c>
      <c r="T15" s="4">
        <f t="shared" si="6"/>
        <v>1.762396694214876</v>
      </c>
      <c r="U15" s="78"/>
      <c r="V15" s="78"/>
      <c r="W15" s="78"/>
      <c r="X15" s="78"/>
      <c r="Y15" s="78"/>
      <c r="Z15" s="78"/>
      <c r="AA15" s="78"/>
      <c r="AB15" s="80"/>
      <c r="AC15" s="78"/>
      <c r="AD15" s="78"/>
      <c r="AE15" s="78"/>
      <c r="AF15" s="78"/>
      <c r="AG15" s="17">
        <f t="shared" si="15"/>
        <v>2.132290334837437</v>
      </c>
    </row>
    <row r="16" spans="1:33" ht="18.75">
      <c r="A16" s="3" t="s">
        <v>91</v>
      </c>
      <c r="B16" s="23" t="str">
        <f>'расчет ИНП'!B16</f>
        <v>СП Субуктуйское </v>
      </c>
      <c r="C16" s="11">
        <f>ИНП!C16</f>
        <v>410</v>
      </c>
      <c r="D16" s="21">
        <v>0</v>
      </c>
      <c r="E16" s="21">
        <f>244+159</f>
        <v>403</v>
      </c>
      <c r="F16" s="4">
        <f t="shared" si="0"/>
        <v>3.7447632711621233</v>
      </c>
      <c r="G16" s="4">
        <f t="shared" si="8"/>
        <v>1.9829268292682927</v>
      </c>
      <c r="H16" s="4">
        <f t="shared" si="9"/>
        <v>1</v>
      </c>
      <c r="I16" s="11">
        <f t="shared" si="16"/>
        <v>1535.3529411764705</v>
      </c>
      <c r="J16" s="11">
        <f t="shared" si="10"/>
        <v>410</v>
      </c>
      <c r="K16" s="11">
        <f t="shared" si="11"/>
        <v>1535.3529411764705</v>
      </c>
      <c r="L16" s="11">
        <f t="shared" si="12"/>
        <v>1535.3529411764705</v>
      </c>
      <c r="M16" s="11">
        <f t="shared" si="13"/>
        <v>1535.3529411764705</v>
      </c>
      <c r="N16" s="11">
        <f t="shared" si="14"/>
        <v>813</v>
      </c>
      <c r="O16" s="4">
        <f t="shared" si="1"/>
        <v>3.7447632711621233</v>
      </c>
      <c r="P16" s="4">
        <f t="shared" si="2"/>
        <v>0.6259767040969212</v>
      </c>
      <c r="Q16" s="4">
        <f t="shared" si="3"/>
        <v>3.7447632711621233</v>
      </c>
      <c r="R16" s="4">
        <f t="shared" si="4"/>
        <v>3.7447632711621233</v>
      </c>
      <c r="S16" s="4">
        <f t="shared" si="5"/>
        <v>3.7447632711621233</v>
      </c>
      <c r="T16" s="4">
        <f t="shared" si="6"/>
        <v>1.7125277161862527</v>
      </c>
      <c r="U16" s="78"/>
      <c r="V16" s="78"/>
      <c r="W16" s="78"/>
      <c r="X16" s="78"/>
      <c r="Y16" s="78"/>
      <c r="Z16" s="78"/>
      <c r="AA16" s="78"/>
      <c r="AB16" s="80"/>
      <c r="AC16" s="78"/>
      <c r="AD16" s="78"/>
      <c r="AE16" s="78"/>
      <c r="AF16" s="78"/>
      <c r="AG16" s="17">
        <f t="shared" si="15"/>
        <v>2.1602968593152676</v>
      </c>
    </row>
    <row r="17" spans="1:33" ht="18.75">
      <c r="A17" s="3" t="s">
        <v>92</v>
      </c>
      <c r="B17" s="23" t="str">
        <f>'расчет ИНП'!B17</f>
        <v>СП Тамирское </v>
      </c>
      <c r="C17" s="11">
        <f>ИНП!C17</f>
        <v>1219</v>
      </c>
      <c r="D17" s="21">
        <v>0</v>
      </c>
      <c r="E17" s="21">
        <f>170+148+284</f>
        <v>602</v>
      </c>
      <c r="F17" s="4">
        <f t="shared" si="0"/>
        <v>1.524981904164455</v>
      </c>
      <c r="G17" s="4">
        <f t="shared" si="8"/>
        <v>1.4938474159146842</v>
      </c>
      <c r="H17" s="4">
        <f t="shared" si="9"/>
        <v>1</v>
      </c>
      <c r="I17" s="11">
        <f t="shared" si="16"/>
        <v>1858.9529411764706</v>
      </c>
      <c r="J17" s="11">
        <f t="shared" si="10"/>
        <v>1219</v>
      </c>
      <c r="K17" s="11">
        <f t="shared" si="11"/>
        <v>1858.9529411764706</v>
      </c>
      <c r="L17" s="11">
        <f t="shared" si="12"/>
        <v>1858.9529411764706</v>
      </c>
      <c r="M17" s="11">
        <f t="shared" si="13"/>
        <v>1858.9529411764706</v>
      </c>
      <c r="N17" s="11">
        <f t="shared" si="14"/>
        <v>1821</v>
      </c>
      <c r="O17" s="4">
        <f t="shared" si="1"/>
        <v>1.524981904164455</v>
      </c>
      <c r="P17" s="4">
        <f t="shared" si="2"/>
        <v>0.6259767040969212</v>
      </c>
      <c r="Q17" s="4">
        <f t="shared" si="3"/>
        <v>1.524981904164455</v>
      </c>
      <c r="R17" s="4">
        <f t="shared" si="4"/>
        <v>1.524981904164455</v>
      </c>
      <c r="S17" s="4">
        <f t="shared" si="5"/>
        <v>1.524981904164455</v>
      </c>
      <c r="T17" s="4">
        <f t="shared" si="6"/>
        <v>1.2901409501081362</v>
      </c>
      <c r="U17" s="78"/>
      <c r="V17" s="78"/>
      <c r="W17" s="78"/>
      <c r="X17" s="78"/>
      <c r="Y17" s="78"/>
      <c r="Z17" s="78"/>
      <c r="AA17" s="78"/>
      <c r="AB17" s="80"/>
      <c r="AC17" s="78"/>
      <c r="AD17" s="78"/>
      <c r="AE17" s="78"/>
      <c r="AF17" s="78"/>
      <c r="AG17" s="17">
        <f t="shared" si="15"/>
        <v>1.0852046365484702</v>
      </c>
    </row>
    <row r="18" spans="1:33" ht="18.75">
      <c r="A18" s="3" t="s">
        <v>93</v>
      </c>
      <c r="B18" s="23" t="str">
        <f>'расчет ИНП'!B18</f>
        <v>СП Усть-Киранское </v>
      </c>
      <c r="C18" s="11">
        <f>ИНП!C18</f>
        <v>1634</v>
      </c>
      <c r="D18" s="21">
        <v>0</v>
      </c>
      <c r="E18" s="21">
        <f>125+146+186+141</f>
        <v>598</v>
      </c>
      <c r="F18" s="4">
        <f t="shared" si="0"/>
        <v>1.2392612859097127</v>
      </c>
      <c r="G18" s="4">
        <f t="shared" si="8"/>
        <v>1.3659730722154224</v>
      </c>
      <c r="H18" s="4">
        <f t="shared" si="9"/>
        <v>1</v>
      </c>
      <c r="I18" s="11">
        <f t="shared" si="16"/>
        <v>2024.9529411764706</v>
      </c>
      <c r="J18" s="11">
        <f t="shared" si="10"/>
        <v>1634</v>
      </c>
      <c r="K18" s="11">
        <f t="shared" si="11"/>
        <v>2024.9529411764706</v>
      </c>
      <c r="L18" s="11">
        <f t="shared" si="12"/>
        <v>2024.9529411764706</v>
      </c>
      <c r="M18" s="11">
        <f t="shared" si="13"/>
        <v>2024.9529411764706</v>
      </c>
      <c r="N18" s="11">
        <f t="shared" si="14"/>
        <v>2232</v>
      </c>
      <c r="O18" s="4">
        <f t="shared" si="1"/>
        <v>1.2392612859097127</v>
      </c>
      <c r="P18" s="4">
        <f t="shared" si="2"/>
        <v>0.6259767040969212</v>
      </c>
      <c r="Q18" s="4">
        <f t="shared" si="3"/>
        <v>1.2392612859097127</v>
      </c>
      <c r="R18" s="4">
        <f t="shared" si="4"/>
        <v>1.2392612859097127</v>
      </c>
      <c r="S18" s="4">
        <f t="shared" si="5"/>
        <v>1.2392612859097127</v>
      </c>
      <c r="T18" s="4">
        <f t="shared" si="6"/>
        <v>1.179704016913319</v>
      </c>
      <c r="U18" s="78"/>
      <c r="V18" s="78"/>
      <c r="W18" s="78"/>
      <c r="X18" s="78"/>
      <c r="Y18" s="78"/>
      <c r="Z18" s="78"/>
      <c r="AA18" s="78"/>
      <c r="AB18" s="80"/>
      <c r="AC18" s="78"/>
      <c r="AD18" s="78"/>
      <c r="AE18" s="78"/>
      <c r="AF18" s="78"/>
      <c r="AG18" s="17">
        <f t="shared" si="15"/>
        <v>0.9441150740793941</v>
      </c>
    </row>
    <row r="19" spans="1:33" ht="18.75">
      <c r="A19" s="3" t="s">
        <v>94</v>
      </c>
      <c r="B19" s="23" t="str">
        <f>'расчет ИНП'!B19</f>
        <v>СП Усть-Кяхтинское </v>
      </c>
      <c r="C19" s="11">
        <f>ИНП!C19</f>
        <v>1970</v>
      </c>
      <c r="D19" s="21">
        <v>0</v>
      </c>
      <c r="E19" s="21">
        <v>0</v>
      </c>
      <c r="F19" s="4">
        <f t="shared" si="0"/>
        <v>1.0961182442520154</v>
      </c>
      <c r="G19" s="4">
        <f t="shared" si="8"/>
        <v>1</v>
      </c>
      <c r="H19" s="4">
        <f t="shared" si="9"/>
        <v>1</v>
      </c>
      <c r="I19" s="11">
        <f t="shared" si="16"/>
        <v>2159.3529411764703</v>
      </c>
      <c r="J19" s="11">
        <f t="shared" si="10"/>
        <v>1970</v>
      </c>
      <c r="K19" s="11">
        <f t="shared" si="11"/>
        <v>2159.3529411764703</v>
      </c>
      <c r="L19" s="11">
        <f t="shared" si="12"/>
        <v>2159.3529411764703</v>
      </c>
      <c r="M19" s="11">
        <f t="shared" si="13"/>
        <v>2159.3529411764703</v>
      </c>
      <c r="N19" s="11">
        <f t="shared" si="14"/>
        <v>1970</v>
      </c>
      <c r="O19" s="4">
        <f t="shared" si="1"/>
        <v>1.0961182442520154</v>
      </c>
      <c r="P19" s="4">
        <f t="shared" si="2"/>
        <v>0.6259767040969212</v>
      </c>
      <c r="Q19" s="4">
        <f t="shared" si="3"/>
        <v>1.0961182442520154</v>
      </c>
      <c r="R19" s="4">
        <f t="shared" si="4"/>
        <v>1.0961182442520154</v>
      </c>
      <c r="S19" s="4">
        <f t="shared" si="5"/>
        <v>1.0961182442520154</v>
      </c>
      <c r="T19" s="4">
        <f t="shared" si="6"/>
        <v>0.8636363636363636</v>
      </c>
      <c r="U19" s="78"/>
      <c r="V19" s="78"/>
      <c r="W19" s="78"/>
      <c r="X19" s="78"/>
      <c r="Y19" s="78"/>
      <c r="Z19" s="78"/>
      <c r="AA19" s="78"/>
      <c r="AB19" s="80"/>
      <c r="AC19" s="78"/>
      <c r="AD19" s="78"/>
      <c r="AE19" s="78"/>
      <c r="AF19" s="78"/>
      <c r="AG19" s="17">
        <f t="shared" si="15"/>
        <v>0.8608359160313673</v>
      </c>
    </row>
    <row r="20" spans="1:33" ht="18.75">
      <c r="A20" s="3" t="s">
        <v>95</v>
      </c>
      <c r="B20" s="23" t="str">
        <f>'расчет ИНП'!B20</f>
        <v>СП Хоронхойское </v>
      </c>
      <c r="C20" s="11">
        <f>ИНП!C20</f>
        <v>1950</v>
      </c>
      <c r="D20" s="21">
        <v>0</v>
      </c>
      <c r="E20" s="21">
        <v>0</v>
      </c>
      <c r="F20" s="4">
        <f t="shared" si="0"/>
        <v>1.1032579185520361</v>
      </c>
      <c r="G20" s="4">
        <f t="shared" si="8"/>
        <v>1</v>
      </c>
      <c r="H20" s="4">
        <f t="shared" si="9"/>
        <v>1</v>
      </c>
      <c r="I20" s="11">
        <f t="shared" si="16"/>
        <v>2151.3529411764703</v>
      </c>
      <c r="J20" s="11">
        <f t="shared" si="10"/>
        <v>1950</v>
      </c>
      <c r="K20" s="11">
        <f t="shared" si="11"/>
        <v>2151.3529411764703</v>
      </c>
      <c r="L20" s="11">
        <f t="shared" si="12"/>
        <v>2151.3529411764703</v>
      </c>
      <c r="M20" s="11">
        <f t="shared" si="13"/>
        <v>2151.3529411764703</v>
      </c>
      <c r="N20" s="11">
        <f t="shared" si="14"/>
        <v>1950</v>
      </c>
      <c r="O20" s="4">
        <f t="shared" si="1"/>
        <v>1.1032579185520361</v>
      </c>
      <c r="P20" s="4">
        <f t="shared" si="2"/>
        <v>0.6259767040969212</v>
      </c>
      <c r="Q20" s="4">
        <f t="shared" si="3"/>
        <v>1.1032579185520361</v>
      </c>
      <c r="R20" s="4">
        <f t="shared" si="4"/>
        <v>1.1032579185520361</v>
      </c>
      <c r="S20" s="4">
        <f t="shared" si="5"/>
        <v>1.1032579185520361</v>
      </c>
      <c r="T20" s="4">
        <f t="shared" si="6"/>
        <v>0.8636363636363636</v>
      </c>
      <c r="U20" s="78"/>
      <c r="V20" s="78"/>
      <c r="W20" s="78"/>
      <c r="X20" s="78"/>
      <c r="Y20" s="78"/>
      <c r="Z20" s="78"/>
      <c r="AA20" s="78"/>
      <c r="AB20" s="80"/>
      <c r="AC20" s="78"/>
      <c r="AD20" s="78"/>
      <c r="AE20" s="78"/>
      <c r="AF20" s="78"/>
      <c r="AG20" s="17">
        <f t="shared" si="15"/>
        <v>0.8642282041482446</v>
      </c>
    </row>
    <row r="21" spans="1:33" ht="18.75">
      <c r="A21" s="3" t="s">
        <v>96</v>
      </c>
      <c r="B21" s="23" t="str">
        <f>'расчет ИНП'!B21</f>
        <v>СП Чикойское </v>
      </c>
      <c r="C21" s="11">
        <f>ИНП!C21</f>
        <v>732</v>
      </c>
      <c r="D21" s="21">
        <v>0</v>
      </c>
      <c r="E21" s="21">
        <v>0</v>
      </c>
      <c r="F21" s="4">
        <f t="shared" si="0"/>
        <v>2.2734329797492765</v>
      </c>
      <c r="G21" s="4">
        <f t="shared" si="8"/>
        <v>1</v>
      </c>
      <c r="H21" s="4">
        <f t="shared" si="9"/>
        <v>1</v>
      </c>
      <c r="I21" s="11">
        <f t="shared" si="16"/>
        <v>1664.1529411764704</v>
      </c>
      <c r="J21" s="11">
        <f t="shared" si="10"/>
        <v>732</v>
      </c>
      <c r="K21" s="11">
        <f t="shared" si="11"/>
        <v>1664.1529411764704</v>
      </c>
      <c r="L21" s="11">
        <f t="shared" si="12"/>
        <v>1664.1529411764704</v>
      </c>
      <c r="M21" s="11">
        <f t="shared" si="13"/>
        <v>1664.1529411764704</v>
      </c>
      <c r="N21" s="11">
        <f t="shared" si="14"/>
        <v>732</v>
      </c>
      <c r="O21" s="4">
        <f t="shared" si="1"/>
        <v>2.2734329797492765</v>
      </c>
      <c r="P21" s="4">
        <f t="shared" si="2"/>
        <v>0.6259767040969212</v>
      </c>
      <c r="Q21" s="4">
        <f t="shared" si="3"/>
        <v>2.2734329797492765</v>
      </c>
      <c r="R21" s="4">
        <f t="shared" si="4"/>
        <v>2.2734329797492765</v>
      </c>
      <c r="S21" s="4">
        <f t="shared" si="5"/>
        <v>2.2734329797492765</v>
      </c>
      <c r="T21" s="4">
        <f t="shared" si="6"/>
        <v>0.8636363636363636</v>
      </c>
      <c r="U21" s="78"/>
      <c r="V21" s="78"/>
      <c r="W21" s="78"/>
      <c r="X21" s="78"/>
      <c r="Y21" s="78"/>
      <c r="Z21" s="78"/>
      <c r="AA21" s="78"/>
      <c r="AB21" s="80"/>
      <c r="AC21" s="78"/>
      <c r="AD21" s="78"/>
      <c r="AE21" s="78"/>
      <c r="AF21" s="78"/>
      <c r="AG21" s="17">
        <f t="shared" si="15"/>
        <v>1.420215884812393</v>
      </c>
    </row>
    <row r="22" spans="1:33" ht="18.75">
      <c r="A22" s="3" t="s">
        <v>97</v>
      </c>
      <c r="B22" s="23" t="str">
        <f>'расчет ИНП'!B22</f>
        <v>СП Шарагольское </v>
      </c>
      <c r="C22" s="11">
        <f>ИНП!C22</f>
        <v>951</v>
      </c>
      <c r="D22" s="21">
        <v>0</v>
      </c>
      <c r="E22" s="21">
        <f>471+102+341+80</f>
        <v>994</v>
      </c>
      <c r="F22" s="4">
        <f t="shared" si="0"/>
        <v>1.8420115049174244</v>
      </c>
      <c r="G22" s="4">
        <f t="shared" si="8"/>
        <v>2.04521556256572</v>
      </c>
      <c r="H22" s="4">
        <f t="shared" si="9"/>
        <v>1</v>
      </c>
      <c r="I22" s="11">
        <f t="shared" si="16"/>
        <v>1751.7529411764706</v>
      </c>
      <c r="J22" s="11">
        <f t="shared" si="10"/>
        <v>951</v>
      </c>
      <c r="K22" s="11">
        <f t="shared" si="11"/>
        <v>1751.7529411764706</v>
      </c>
      <c r="L22" s="11">
        <f t="shared" si="12"/>
        <v>1751.7529411764706</v>
      </c>
      <c r="M22" s="11">
        <f t="shared" si="13"/>
        <v>1751.7529411764706</v>
      </c>
      <c r="N22" s="11">
        <f t="shared" si="14"/>
        <v>1944.9999999999998</v>
      </c>
      <c r="O22" s="4">
        <f t="shared" si="1"/>
        <v>1.8420115049174244</v>
      </c>
      <c r="P22" s="4">
        <f t="shared" si="2"/>
        <v>0.6259767040969212</v>
      </c>
      <c r="Q22" s="4">
        <f t="shared" si="3"/>
        <v>1.8420115049174244</v>
      </c>
      <c r="R22" s="4">
        <f t="shared" si="4"/>
        <v>1.8420115049174244</v>
      </c>
      <c r="S22" s="4">
        <f t="shared" si="5"/>
        <v>1.8420115049174244</v>
      </c>
      <c r="T22" s="4">
        <f t="shared" si="6"/>
        <v>1.766322531306758</v>
      </c>
      <c r="U22" s="78"/>
      <c r="V22" s="78"/>
      <c r="W22" s="78"/>
      <c r="X22" s="78"/>
      <c r="Y22" s="78"/>
      <c r="Z22" s="78"/>
      <c r="AA22" s="78"/>
      <c r="AB22" s="80"/>
      <c r="AC22" s="78"/>
      <c r="AD22" s="78"/>
      <c r="AE22" s="78"/>
      <c r="AF22" s="78"/>
      <c r="AG22" s="17">
        <f t="shared" si="15"/>
        <v>1.2588370050053066</v>
      </c>
    </row>
    <row r="23" spans="1:33" ht="21" customHeight="1">
      <c r="A23" s="3" t="s">
        <v>98</v>
      </c>
      <c r="B23" s="23" t="str">
        <f>'расчет ИНП'!B23</f>
        <v>ГП Город Кяхта </v>
      </c>
      <c r="C23" s="11">
        <f>ИНП!C23</f>
        <v>20042</v>
      </c>
      <c r="D23" s="21">
        <v>19998</v>
      </c>
      <c r="E23" s="21">
        <v>44</v>
      </c>
      <c r="F23" s="4">
        <f t="shared" si="0"/>
        <v>0.4684239567496493</v>
      </c>
      <c r="G23" s="4">
        <f t="shared" si="8"/>
        <v>1.0021953896816684</v>
      </c>
      <c r="H23" s="4">
        <f t="shared" si="9"/>
        <v>1.9978046103183313</v>
      </c>
      <c r="I23" s="11">
        <f t="shared" si="16"/>
        <v>9388.152941176471</v>
      </c>
      <c r="J23" s="11">
        <f t="shared" si="10"/>
        <v>40040</v>
      </c>
      <c r="K23" s="11">
        <f t="shared" si="11"/>
        <v>9388.152941176471</v>
      </c>
      <c r="L23" s="11">
        <f t="shared" si="12"/>
        <v>9388.152941176471</v>
      </c>
      <c r="M23" s="11">
        <f t="shared" si="13"/>
        <v>9388.152941176471</v>
      </c>
      <c r="N23" s="11">
        <f t="shared" si="14"/>
        <v>20086</v>
      </c>
      <c r="O23" s="4">
        <f t="shared" si="1"/>
        <v>0.4684239567496493</v>
      </c>
      <c r="P23" s="4">
        <f t="shared" si="2"/>
        <v>1.2505791453967032</v>
      </c>
      <c r="Q23" s="4">
        <f t="shared" si="3"/>
        <v>0.4684239567496493</v>
      </c>
      <c r="R23" s="4">
        <f t="shared" si="4"/>
        <v>0.4684239567496493</v>
      </c>
      <c r="S23" s="4">
        <f t="shared" si="5"/>
        <v>0.4684239567496493</v>
      </c>
      <c r="T23" s="4">
        <f t="shared" si="6"/>
        <v>0.8655323819978046</v>
      </c>
      <c r="U23" s="78"/>
      <c r="V23" s="78"/>
      <c r="W23" s="78"/>
      <c r="X23" s="78"/>
      <c r="Y23" s="78"/>
      <c r="Z23" s="78"/>
      <c r="AA23" s="78"/>
      <c r="AB23" s="80"/>
      <c r="AC23" s="78"/>
      <c r="AD23" s="78"/>
      <c r="AE23" s="78"/>
      <c r="AF23" s="78"/>
      <c r="AG23" s="17">
        <f t="shared" si="15"/>
        <v>0.8603528709715829</v>
      </c>
    </row>
    <row r="24" spans="1:33" ht="18.75">
      <c r="A24" s="3" t="s">
        <v>99</v>
      </c>
      <c r="B24" s="23" t="str">
        <f>'расчет ИНП'!B24</f>
        <v>ГП Наушкинское </v>
      </c>
      <c r="C24" s="11">
        <f>ИНП!C24</f>
        <v>3218</v>
      </c>
      <c r="D24" s="21">
        <v>3218</v>
      </c>
      <c r="E24" s="21"/>
      <c r="F24" s="4">
        <f t="shared" si="0"/>
        <v>0.8261506964501152</v>
      </c>
      <c r="G24" s="4">
        <f t="shared" si="8"/>
        <v>1</v>
      </c>
      <c r="H24" s="4">
        <f t="shared" si="9"/>
        <v>2</v>
      </c>
      <c r="I24" s="11">
        <f t="shared" si="16"/>
        <v>2658.5529411764705</v>
      </c>
      <c r="J24" s="11">
        <f t="shared" si="10"/>
        <v>6436</v>
      </c>
      <c r="K24" s="11">
        <f t="shared" si="11"/>
        <v>2658.5529411764705</v>
      </c>
      <c r="L24" s="11">
        <f t="shared" si="12"/>
        <v>2658.5529411764705</v>
      </c>
      <c r="M24" s="11">
        <f t="shared" si="13"/>
        <v>2658.5529411764705</v>
      </c>
      <c r="N24" s="11">
        <f t="shared" si="14"/>
        <v>3218</v>
      </c>
      <c r="O24" s="4">
        <f t="shared" si="1"/>
        <v>0.8261506964501152</v>
      </c>
      <c r="P24" s="4">
        <f t="shared" si="2"/>
        <v>1.2519534081938424</v>
      </c>
      <c r="Q24" s="4">
        <f t="shared" si="3"/>
        <v>0.8261506964501152</v>
      </c>
      <c r="R24" s="4">
        <f t="shared" si="4"/>
        <v>0.8261506964501152</v>
      </c>
      <c r="S24" s="4">
        <f t="shared" si="5"/>
        <v>0.8261506964501152</v>
      </c>
      <c r="T24" s="4">
        <f t="shared" si="6"/>
        <v>0.8636363636363636</v>
      </c>
      <c r="U24" s="78"/>
      <c r="V24" s="78"/>
      <c r="W24" s="78"/>
      <c r="X24" s="78"/>
      <c r="Y24" s="78"/>
      <c r="Z24" s="78"/>
      <c r="AA24" s="78"/>
      <c r="AB24" s="80"/>
      <c r="AC24" s="78"/>
      <c r="AD24" s="78"/>
      <c r="AE24" s="78"/>
      <c r="AF24" s="78"/>
      <c r="AG24" s="17">
        <f t="shared" si="15"/>
        <v>1.0308836507179304</v>
      </c>
    </row>
    <row r="25" spans="1:33" ht="18.75">
      <c r="A25" s="68" t="s">
        <v>2</v>
      </c>
      <c r="B25" s="69"/>
      <c r="C25" s="12">
        <f>SUM(C8:C24)</f>
        <v>38855</v>
      </c>
      <c r="D25" s="22">
        <f>SUM(D8:D24)</f>
        <v>23216</v>
      </c>
      <c r="E25" s="22">
        <f>SUM(E8:E24)</f>
        <v>6135</v>
      </c>
      <c r="F25" s="4"/>
      <c r="G25" s="5"/>
      <c r="H25" s="5"/>
      <c r="I25" s="12">
        <f aca="true" t="shared" si="17" ref="I25:S25">SUM(I8:I24)</f>
        <v>38855</v>
      </c>
      <c r="J25" s="12">
        <f t="shared" si="17"/>
        <v>62071</v>
      </c>
      <c r="K25" s="12">
        <f t="shared" si="17"/>
        <v>38855</v>
      </c>
      <c r="L25" s="12">
        <f t="shared" si="17"/>
        <v>38855</v>
      </c>
      <c r="M25" s="12">
        <f t="shared" si="17"/>
        <v>38855</v>
      </c>
      <c r="N25" s="12">
        <f t="shared" si="17"/>
        <v>44990</v>
      </c>
      <c r="O25" s="5">
        <f t="shared" si="17"/>
        <v>33.537491892969236</v>
      </c>
      <c r="P25" s="5">
        <f t="shared" si="17"/>
        <v>11.89218311504436</v>
      </c>
      <c r="Q25" s="5">
        <f t="shared" si="17"/>
        <v>33.537491892969236</v>
      </c>
      <c r="R25" s="5">
        <f t="shared" si="17"/>
        <v>33.537491892969236</v>
      </c>
      <c r="S25" s="5">
        <f t="shared" si="17"/>
        <v>33.537491892969236</v>
      </c>
      <c r="T25" s="5">
        <f>SUM(T8:T24)</f>
        <v>21.594822338297703</v>
      </c>
      <c r="U25" s="5"/>
      <c r="V25" s="5"/>
      <c r="W25" s="5"/>
      <c r="X25" s="5"/>
      <c r="Y25" s="5"/>
      <c r="Z25" s="5">
        <v>106357.84</v>
      </c>
      <c r="AA25" s="5"/>
      <c r="AB25" s="5"/>
      <c r="AC25" s="5"/>
      <c r="AD25" s="5"/>
      <c r="AE25" s="5"/>
      <c r="AF25" s="5"/>
      <c r="AG25" s="5"/>
    </row>
    <row r="28" spans="1:33" s="2" customFormat="1" ht="18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44"/>
      <c r="AA28" s="1"/>
      <c r="AB28" s="1"/>
      <c r="AC28" s="1"/>
      <c r="AD28" s="1"/>
      <c r="AE28" s="1"/>
      <c r="AF28" s="1"/>
      <c r="AG28" s="1"/>
    </row>
  </sheetData>
  <sheetProtection/>
  <mergeCells count="24">
    <mergeCell ref="A3:B3"/>
    <mergeCell ref="C5:C6"/>
    <mergeCell ref="F5:H5"/>
    <mergeCell ref="O5:T5"/>
    <mergeCell ref="A25:B25"/>
    <mergeCell ref="B5:B7"/>
    <mergeCell ref="A5:A7"/>
    <mergeCell ref="I5:N5"/>
    <mergeCell ref="D5:E5"/>
    <mergeCell ref="AG5:AG6"/>
    <mergeCell ref="AB8:AB24"/>
    <mergeCell ref="AC8:AC24"/>
    <mergeCell ref="AD8:AD24"/>
    <mergeCell ref="AE8:AE24"/>
    <mergeCell ref="AF8:AF24"/>
    <mergeCell ref="U5:Z5"/>
    <mergeCell ref="AA5:AF5"/>
    <mergeCell ref="U8:U24"/>
    <mergeCell ref="V8:V24"/>
    <mergeCell ref="W8:W24"/>
    <mergeCell ref="X8:X24"/>
    <mergeCell ref="Y8:Y24"/>
    <mergeCell ref="Z8:Z24"/>
    <mergeCell ref="AA8:AA24"/>
  </mergeCells>
  <printOptions/>
  <pageMargins left="0.5905511811023623" right="0.1968503937007874" top="0.984251968503937" bottom="0.5905511811023623" header="0.5118110236220472" footer="0.5118110236220472"/>
  <pageSetup horizontalDpi="600" verticalDpi="600" orientation="landscape" paperSize="9" scale="55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="60" zoomScaleNormal="75" zoomScalePageLayoutView="0" workbookViewId="0" topLeftCell="A1">
      <pane xSplit="2" topLeftCell="C1" activePane="topRight" state="frozen"/>
      <selection pane="topLeft" activeCell="A1" sqref="A1"/>
      <selection pane="topRight" activeCell="G34" sqref="G34"/>
    </sheetView>
  </sheetViews>
  <sheetFormatPr defaultColWidth="9.140625" defaultRowHeight="12.75"/>
  <cols>
    <col min="1" max="1" width="7.421875" style="1" customWidth="1"/>
    <col min="2" max="2" width="31.7109375" style="1" customWidth="1"/>
    <col min="3" max="3" width="17.421875" style="1" customWidth="1"/>
    <col min="4" max="5" width="20.421875" style="1" customWidth="1"/>
    <col min="6" max="16384" width="9.140625" style="1" customWidth="1"/>
  </cols>
  <sheetData>
    <row r="1" spans="1:2" s="2" customFormat="1" ht="18.75">
      <c r="A1" s="9" t="s">
        <v>68</v>
      </c>
      <c r="B1" s="9"/>
    </row>
    <row r="2" s="2" customFormat="1" ht="18.75"/>
    <row r="3" spans="1:3" s="2" customFormat="1" ht="18.75">
      <c r="A3" s="54" t="s">
        <v>1</v>
      </c>
      <c r="B3" s="54"/>
      <c r="C3" s="2" t="s">
        <v>116</v>
      </c>
    </row>
    <row r="4" s="2" customFormat="1" ht="18.75"/>
    <row r="5" spans="1:5" s="10" customFormat="1" ht="36" customHeight="1">
      <c r="A5" s="66" t="s">
        <v>4</v>
      </c>
      <c r="B5" s="66" t="s">
        <v>0</v>
      </c>
      <c r="C5" s="66" t="s">
        <v>20</v>
      </c>
      <c r="D5" s="66" t="s">
        <v>62</v>
      </c>
      <c r="E5" s="66" t="s">
        <v>67</v>
      </c>
    </row>
    <row r="6" spans="1:5" s="13" customFormat="1" ht="70.5" customHeight="1">
      <c r="A6" s="70"/>
      <c r="B6" s="70"/>
      <c r="C6" s="67"/>
      <c r="D6" s="67"/>
      <c r="E6" s="67"/>
    </row>
    <row r="7" spans="1:5" s="14" customFormat="1" ht="18.75">
      <c r="A7" s="67"/>
      <c r="B7" s="67"/>
      <c r="C7" s="8" t="s">
        <v>19</v>
      </c>
      <c r="D7" s="8" t="s">
        <v>63</v>
      </c>
      <c r="E7" s="8" t="s">
        <v>63</v>
      </c>
    </row>
    <row r="8" spans="1:5" s="15" customFormat="1" ht="18.75">
      <c r="A8" s="3" t="s">
        <v>83</v>
      </c>
      <c r="B8" s="23" t="str">
        <f>'расчет ИНП'!B8</f>
        <v>СП Алтайское </v>
      </c>
      <c r="C8" s="4">
        <f>ИНП!K8</f>
        <v>1.1236148702153326</v>
      </c>
      <c r="D8" s="4">
        <f>ИБР!AG8</f>
        <v>1.4771426793585705</v>
      </c>
      <c r="E8" s="17">
        <f>C8/D8</f>
        <v>0.7606677986606192</v>
      </c>
    </row>
    <row r="9" spans="1:5" ht="20.25" customHeight="1">
      <c r="A9" s="3" t="s">
        <v>84</v>
      </c>
      <c r="B9" s="23" t="str">
        <f>'расчет ИНП'!B9</f>
        <v>СП Большекударинское </v>
      </c>
      <c r="C9" s="4">
        <f>ИНП!K9</f>
        <v>1.0117300958601307</v>
      </c>
      <c r="D9" s="4">
        <f>ИБР!AG9</f>
        <v>0.9604072013764502</v>
      </c>
      <c r="E9" s="17">
        <f aca="true" t="shared" si="0" ref="E9:E24">C9/D9</f>
        <v>1.053438681436504</v>
      </c>
    </row>
    <row r="10" spans="1:5" ht="20.25" customHeight="1">
      <c r="A10" s="3" t="s">
        <v>85</v>
      </c>
      <c r="B10" s="23" t="str">
        <f>'расчет ИНП'!B10</f>
        <v>СП Большелугское </v>
      </c>
      <c r="C10" s="4">
        <f>ИНП!K10</f>
        <v>1.1786429196467185</v>
      </c>
      <c r="D10" s="4">
        <f>ИБР!AG10</f>
        <v>1.2737402273987144</v>
      </c>
      <c r="E10" s="17">
        <f t="shared" si="0"/>
        <v>0.9253401080483988</v>
      </c>
    </row>
    <row r="11" spans="1:5" ht="18.75">
      <c r="A11" s="3" t="s">
        <v>86</v>
      </c>
      <c r="B11" s="23" t="str">
        <f>'расчет ИНП'!B11</f>
        <v>СП Зарянское </v>
      </c>
      <c r="C11" s="4">
        <f>ИНП!K11</f>
        <v>1.1498935800607673</v>
      </c>
      <c r="D11" s="4">
        <f>ИБР!AG11</f>
        <v>1.742794466958738</v>
      </c>
      <c r="E11" s="17">
        <f t="shared" si="0"/>
        <v>0.659798732358491</v>
      </c>
    </row>
    <row r="12" spans="1:5" ht="18.75">
      <c r="A12" s="3" t="s">
        <v>87</v>
      </c>
      <c r="B12" s="23" t="str">
        <f>'расчет ИНП'!B12</f>
        <v>СП Кударинское </v>
      </c>
      <c r="C12" s="4">
        <f>ИНП!K12</f>
        <v>1.0216251555023692</v>
      </c>
      <c r="D12" s="4">
        <f>ИБР!AG12</f>
        <v>0.9716086488113482</v>
      </c>
      <c r="E12" s="17">
        <f t="shared" si="0"/>
        <v>1.0514780377389707</v>
      </c>
    </row>
    <row r="13" spans="1:5" ht="18.75">
      <c r="A13" s="3" t="s">
        <v>88</v>
      </c>
      <c r="B13" s="23" t="str">
        <f>'расчет ИНП'!B13</f>
        <v>СП Малокударинское </v>
      </c>
      <c r="C13" s="4">
        <f>ИНП!K13</f>
        <v>1.3008826973856655</v>
      </c>
      <c r="D13" s="4">
        <f>ИБР!AG13</f>
        <v>1.6500274137395798</v>
      </c>
      <c r="E13" s="17">
        <f t="shared" si="0"/>
        <v>0.7884006571971907</v>
      </c>
    </row>
    <row r="14" spans="1:5" ht="20.25" customHeight="1">
      <c r="A14" s="3" t="s">
        <v>89</v>
      </c>
      <c r="B14" s="23" t="str">
        <f>'расчет ИНП'!B14</f>
        <v>СП Мурочинское </v>
      </c>
      <c r="C14" s="4">
        <f>ИНП!K14</f>
        <v>1.184103962855495</v>
      </c>
      <c r="D14" s="4">
        <f>ИБР!AG14</f>
        <v>1.9522576964014313</v>
      </c>
      <c r="E14" s="17">
        <f t="shared" si="0"/>
        <v>0.6065305646063719</v>
      </c>
    </row>
    <row r="15" spans="1:8" ht="18.75">
      <c r="A15" s="3" t="s">
        <v>90</v>
      </c>
      <c r="B15" s="23" t="str">
        <f>'расчет ИНП'!B15</f>
        <v>СП Первомайское </v>
      </c>
      <c r="C15" s="4">
        <f>ИНП!K15</f>
        <v>1.3689526611016152</v>
      </c>
      <c r="D15" s="4">
        <f>ИБР!AG15</f>
        <v>2.132290334837437</v>
      </c>
      <c r="E15" s="17">
        <f t="shared" si="0"/>
        <v>0.6420104423565669</v>
      </c>
      <c r="H15" s="18"/>
    </row>
    <row r="16" spans="1:5" ht="18.75">
      <c r="A16" s="3" t="s">
        <v>91</v>
      </c>
      <c r="B16" s="23" t="str">
        <f>'расчет ИНП'!B16</f>
        <v>СП Субуктуйское </v>
      </c>
      <c r="C16" s="4">
        <f>ИНП!K16</f>
        <v>1.078974981938237</v>
      </c>
      <c r="D16" s="4">
        <f>ИБР!AG16</f>
        <v>2.1602968593152676</v>
      </c>
      <c r="E16" s="17">
        <f t="shared" si="0"/>
        <v>0.4994568118199419</v>
      </c>
    </row>
    <row r="17" spans="1:5" ht="18.75">
      <c r="A17" s="3" t="s">
        <v>92</v>
      </c>
      <c r="B17" s="23" t="str">
        <f>'расчет ИНП'!B17</f>
        <v>СП Тамирское </v>
      </c>
      <c r="C17" s="4">
        <f>ИНП!K17</f>
        <v>1.2038397990538152</v>
      </c>
      <c r="D17" s="4">
        <f>ИБР!AG17</f>
        <v>1.0852046365484702</v>
      </c>
      <c r="E17" s="17">
        <f t="shared" si="0"/>
        <v>1.1093205451855312</v>
      </c>
    </row>
    <row r="18" spans="1:5" ht="18.75">
      <c r="A18" s="3" t="s">
        <v>93</v>
      </c>
      <c r="B18" s="23" t="str">
        <f>'расчет ИНП'!B18</f>
        <v>СП Усть-Киранское </v>
      </c>
      <c r="C18" s="4">
        <f>ИНП!K18</f>
        <v>0.992104959264025</v>
      </c>
      <c r="D18" s="4">
        <f>ИБР!AG18</f>
        <v>0.9441150740793941</v>
      </c>
      <c r="E18" s="17">
        <f t="shared" si="0"/>
        <v>1.0508305465108962</v>
      </c>
    </row>
    <row r="19" spans="1:5" ht="18.75">
      <c r="A19" s="3" t="s">
        <v>94</v>
      </c>
      <c r="B19" s="23" t="str">
        <f>'расчет ИНП'!B19</f>
        <v>СП Усть-Кяхтинское </v>
      </c>
      <c r="C19" s="4">
        <f>ИНП!K19</f>
        <v>0.7500328561344173</v>
      </c>
      <c r="D19" s="4">
        <f>ИБР!AG19</f>
        <v>0.8608359160313673</v>
      </c>
      <c r="E19" s="17">
        <f t="shared" si="0"/>
        <v>0.8712843437019041</v>
      </c>
    </row>
    <row r="20" spans="1:5" ht="18.75">
      <c r="A20" s="3" t="s">
        <v>95</v>
      </c>
      <c r="B20" s="23" t="str">
        <f>'расчет ИНП'!B20</f>
        <v>СП Хоронхойское </v>
      </c>
      <c r="C20" s="4">
        <f>ИНП!K20</f>
        <v>0.7575353274705999</v>
      </c>
      <c r="D20" s="4">
        <f>ИБР!AG20</f>
        <v>0.8642282041482446</v>
      </c>
      <c r="E20" s="17">
        <f t="shared" si="0"/>
        <v>0.8765454816615273</v>
      </c>
    </row>
    <row r="21" spans="1:5" ht="18.75">
      <c r="A21" s="3" t="s">
        <v>96</v>
      </c>
      <c r="B21" s="23" t="str">
        <f>'расчет ИНП'!B21</f>
        <v>СП Чикойское </v>
      </c>
      <c r="C21" s="4">
        <f>ИНП!K21</f>
        <v>0.7021754225739651</v>
      </c>
      <c r="D21" s="4">
        <f>ИБР!AG21</f>
        <v>1.420215884812393</v>
      </c>
      <c r="E21" s="17">
        <f t="shared" si="0"/>
        <v>0.49441456758999763</v>
      </c>
    </row>
    <row r="22" spans="1:5" ht="18.75">
      <c r="A22" s="3" t="s">
        <v>97</v>
      </c>
      <c r="B22" s="23" t="str">
        <f>'расчет ИНП'!B22</f>
        <v>СП Шарагольское </v>
      </c>
      <c r="C22" s="4">
        <f>ИНП!K22</f>
        <v>1.0456937572883565</v>
      </c>
      <c r="D22" s="4">
        <f>ИБР!AG22</f>
        <v>1.2588370050053066</v>
      </c>
      <c r="E22" s="17">
        <f t="shared" si="0"/>
        <v>0.8306824101377194</v>
      </c>
    </row>
    <row r="23" spans="1:5" ht="21" customHeight="1">
      <c r="A23" s="3" t="s">
        <v>98</v>
      </c>
      <c r="B23" s="23" t="str">
        <f>'расчет ИНП'!B23</f>
        <v>ГП Город Кяхта </v>
      </c>
      <c r="C23" s="4">
        <f>ИНП!K23</f>
        <v>0.9875175617984937</v>
      </c>
      <c r="D23" s="4">
        <f>ИБР!AG23</f>
        <v>0.8603528709715829</v>
      </c>
      <c r="E23" s="17">
        <f t="shared" si="0"/>
        <v>1.14780527283335</v>
      </c>
    </row>
    <row r="24" spans="1:5" ht="18.75">
      <c r="A24" s="3" t="s">
        <v>99</v>
      </c>
      <c r="B24" s="23" t="str">
        <f>'расчет ИНП'!B24</f>
        <v>ГП Наушкинское </v>
      </c>
      <c r="C24" s="4">
        <f>ИНП!K24</f>
        <v>1.0994018607767355</v>
      </c>
      <c r="D24" s="4">
        <f>ИБР!AG24</f>
        <v>1.0308836507179304</v>
      </c>
      <c r="E24" s="17">
        <f t="shared" si="0"/>
        <v>1.0664655123893831</v>
      </c>
    </row>
    <row r="25" spans="1:5" ht="18.75">
      <c r="A25" s="68" t="s">
        <v>2</v>
      </c>
      <c r="B25" s="69"/>
      <c r="C25" s="12"/>
      <c r="D25" s="5"/>
      <c r="E25" s="5"/>
    </row>
    <row r="28" spans="1:5" s="2" customFormat="1" ht="18.75">
      <c r="A28" s="1"/>
      <c r="B28" s="1"/>
      <c r="C28" s="1"/>
      <c r="D28" s="1"/>
      <c r="E28" s="1"/>
    </row>
  </sheetData>
  <sheetProtection/>
  <mergeCells count="7">
    <mergeCell ref="E5:E6"/>
    <mergeCell ref="A3:B3"/>
    <mergeCell ref="C5:C6"/>
    <mergeCell ref="A25:B25"/>
    <mergeCell ref="B5:B7"/>
    <mergeCell ref="A5:A7"/>
    <mergeCell ref="D5:D6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="60" zoomScaleNormal="75" zoomScalePageLayoutView="0" workbookViewId="0" topLeftCell="A1">
      <selection activeCell="F34" sqref="F34"/>
    </sheetView>
  </sheetViews>
  <sheetFormatPr defaultColWidth="9.140625" defaultRowHeight="12.75"/>
  <cols>
    <col min="1" max="1" width="7.421875" style="1" customWidth="1"/>
    <col min="2" max="2" width="32.140625" style="1" customWidth="1"/>
    <col min="3" max="3" width="19.140625" style="1" customWidth="1"/>
    <col min="4" max="4" width="15.7109375" style="1" customWidth="1"/>
    <col min="5" max="5" width="20.57421875" style="1" customWidth="1"/>
    <col min="6" max="6" width="21.57421875" style="1" customWidth="1"/>
    <col min="7" max="7" width="17.421875" style="1" customWidth="1"/>
    <col min="8" max="8" width="18.7109375" style="1" customWidth="1"/>
    <col min="9" max="16384" width="9.140625" style="15" customWidth="1"/>
  </cols>
  <sheetData>
    <row r="1" spans="1:8" s="16" customFormat="1" ht="18.75">
      <c r="A1" s="9" t="s">
        <v>145</v>
      </c>
      <c r="B1" s="9"/>
      <c r="C1" s="2"/>
      <c r="D1" s="2"/>
      <c r="E1" s="2"/>
      <c r="F1" s="2"/>
      <c r="G1" s="2"/>
      <c r="H1" s="2"/>
    </row>
    <row r="2" spans="1:8" s="16" customFormat="1" ht="18.75">
      <c r="A2" s="2"/>
      <c r="B2" s="2"/>
      <c r="C2" s="2"/>
      <c r="D2" s="2"/>
      <c r="E2" s="2"/>
      <c r="F2" s="2"/>
      <c r="G2" s="2"/>
      <c r="H2" s="2"/>
    </row>
    <row r="3" spans="1:8" s="16" customFormat="1" ht="18.75">
      <c r="A3" s="2"/>
      <c r="B3" s="2" t="s">
        <v>1</v>
      </c>
      <c r="C3" s="2" t="s">
        <v>116</v>
      </c>
      <c r="D3" s="2"/>
      <c r="E3" s="2"/>
      <c r="F3" s="2"/>
      <c r="G3" s="2"/>
      <c r="H3" s="2"/>
    </row>
    <row r="4" spans="1:8" s="16" customFormat="1" ht="18.75">
      <c r="A4" s="2"/>
      <c r="B4" s="2"/>
      <c r="C4" s="2"/>
      <c r="D4" s="2"/>
      <c r="E4" s="2"/>
      <c r="F4" s="2"/>
      <c r="G4" s="2"/>
      <c r="H4" s="2"/>
    </row>
    <row r="5" spans="1:8" s="13" customFormat="1" ht="184.5" customHeight="1">
      <c r="A5" s="66" t="s">
        <v>4</v>
      </c>
      <c r="B5" s="66" t="s">
        <v>0</v>
      </c>
      <c r="C5" s="6" t="s">
        <v>77</v>
      </c>
      <c r="D5" s="6" t="s">
        <v>135</v>
      </c>
      <c r="E5" s="6" t="s">
        <v>74</v>
      </c>
      <c r="F5" s="6" t="s">
        <v>75</v>
      </c>
      <c r="G5" s="6" t="s">
        <v>73</v>
      </c>
      <c r="H5" s="6" t="s">
        <v>82</v>
      </c>
    </row>
    <row r="6" spans="1:8" s="14" customFormat="1" ht="18.75">
      <c r="A6" s="67"/>
      <c r="B6" s="67"/>
      <c r="C6" s="8"/>
      <c r="D6" s="8" t="s">
        <v>69</v>
      </c>
      <c r="E6" s="8" t="s">
        <v>71</v>
      </c>
      <c r="F6" s="8" t="s">
        <v>70</v>
      </c>
      <c r="G6" s="8" t="s">
        <v>63</v>
      </c>
      <c r="H6" s="8" t="s">
        <v>3</v>
      </c>
    </row>
    <row r="7" spans="1:8" ht="18.75">
      <c r="A7" s="3" t="s">
        <v>83</v>
      </c>
      <c r="B7" s="23" t="str">
        <f>'расчет ИНП'!B8</f>
        <v>СП Алтайское </v>
      </c>
      <c r="C7" s="71">
        <v>64.5</v>
      </c>
      <c r="D7" s="84">
        <f>ИНП!H25/ИНП!C25</f>
        <v>1.1645579719469825</v>
      </c>
      <c r="E7" s="85">
        <f>(ИНП!G25+'Объем средств'!C7)/ИНП!G25</f>
        <v>1.0014177675953908</v>
      </c>
      <c r="F7" s="17">
        <f>IF(БО!E8&lt;$E$7,БО!E8,0)</f>
        <v>0.7606677986606192</v>
      </c>
      <c r="G7" s="4">
        <f>ИБР!AG8</f>
        <v>1.4771426793585705</v>
      </c>
      <c r="H7" s="4">
        <f aca="true" t="shared" si="0" ref="H7:H23">IF(F7&lt;&gt;0,$D$7*($E$7-F7)*G7,0)</f>
        <v>0.4141424981812745</v>
      </c>
    </row>
    <row r="8" spans="1:8" ht="18.75">
      <c r="A8" s="3" t="s">
        <v>84</v>
      </c>
      <c r="B8" s="23" t="str">
        <f>'расчет ИНП'!B9</f>
        <v>СП Большекударинское </v>
      </c>
      <c r="C8" s="72"/>
      <c r="D8" s="78"/>
      <c r="E8" s="78"/>
      <c r="F8" s="17">
        <f>IF(БО!E9&lt;$E$7,БО!E9,0)</f>
        <v>0</v>
      </c>
      <c r="G8" s="4">
        <f>ИБР!AG9</f>
        <v>0.9604072013764502</v>
      </c>
      <c r="H8" s="4">
        <f t="shared" si="0"/>
        <v>0</v>
      </c>
    </row>
    <row r="9" spans="1:8" ht="18.75">
      <c r="A9" s="3" t="s">
        <v>85</v>
      </c>
      <c r="B9" s="23" t="str">
        <f>'расчет ИНП'!B10</f>
        <v>СП Большелугское </v>
      </c>
      <c r="C9" s="72"/>
      <c r="D9" s="78"/>
      <c r="E9" s="78"/>
      <c r="F9" s="17">
        <f>IF(БО!E10&lt;$E$7,БО!E10,0)</f>
        <v>0.9253401080483988</v>
      </c>
      <c r="G9" s="4">
        <f>ИБР!AG10</f>
        <v>1.2737402273987144</v>
      </c>
      <c r="H9" s="4">
        <f t="shared" si="0"/>
        <v>0.11284936538567926</v>
      </c>
    </row>
    <row r="10" spans="1:8" ht="18.75">
      <c r="A10" s="3" t="s">
        <v>86</v>
      </c>
      <c r="B10" s="23" t="str">
        <f>'расчет ИНП'!B11</f>
        <v>СП Зарянское </v>
      </c>
      <c r="C10" s="72"/>
      <c r="D10" s="78"/>
      <c r="E10" s="78"/>
      <c r="F10" s="17">
        <f>IF(БО!E11&lt;$E$7,БО!E11,0)</f>
        <v>0.659798732358491</v>
      </c>
      <c r="G10" s="4">
        <f>ИБР!AG11</f>
        <v>1.742794466958738</v>
      </c>
      <c r="H10" s="4">
        <f t="shared" si="0"/>
        <v>0.6933449345258812</v>
      </c>
    </row>
    <row r="11" spans="1:8" ht="18.75">
      <c r="A11" s="3" t="s">
        <v>87</v>
      </c>
      <c r="B11" s="23" t="str">
        <f>'расчет ИНП'!B12</f>
        <v>СП Кударинское </v>
      </c>
      <c r="C11" s="72"/>
      <c r="D11" s="78"/>
      <c r="E11" s="78"/>
      <c r="F11" s="17">
        <f>IF(БО!E12&lt;$E$7,БО!E12,0)</f>
        <v>0</v>
      </c>
      <c r="G11" s="4">
        <f>ИБР!AG12</f>
        <v>0.9716086488113482</v>
      </c>
      <c r="H11" s="4">
        <f t="shared" si="0"/>
        <v>0</v>
      </c>
    </row>
    <row r="12" spans="1:8" ht="18.75">
      <c r="A12" s="3" t="s">
        <v>88</v>
      </c>
      <c r="B12" s="23" t="str">
        <f>'расчет ИНП'!B13</f>
        <v>СП Малокударинское </v>
      </c>
      <c r="C12" s="72"/>
      <c r="D12" s="78"/>
      <c r="E12" s="78"/>
      <c r="F12" s="17">
        <f>IF(БО!E13&lt;$E$7,БО!E13,0)</f>
        <v>0.7884006571971907</v>
      </c>
      <c r="G12" s="4">
        <f>ИБР!AG13</f>
        <v>1.6500274137395798</v>
      </c>
      <c r="H12" s="4">
        <f t="shared" si="0"/>
        <v>0.4093235777718997</v>
      </c>
    </row>
    <row r="13" spans="1:8" ht="20.25" customHeight="1">
      <c r="A13" s="3" t="s">
        <v>89</v>
      </c>
      <c r="B13" s="23" t="str">
        <f>'расчет ИНП'!B14</f>
        <v>СП Мурочинское </v>
      </c>
      <c r="C13" s="72"/>
      <c r="D13" s="78"/>
      <c r="E13" s="78"/>
      <c r="F13" s="17">
        <f>IF(БО!E14&lt;$E$7,БО!E14,0)</f>
        <v>0.6065305646063719</v>
      </c>
      <c r="G13" s="4">
        <f>ИБР!AG14</f>
        <v>1.9522576964014313</v>
      </c>
      <c r="H13" s="4">
        <f t="shared" si="0"/>
        <v>0.8977828731857075</v>
      </c>
    </row>
    <row r="14" spans="1:8" ht="18.75">
      <c r="A14" s="3" t="s">
        <v>90</v>
      </c>
      <c r="B14" s="23" t="str">
        <f>'расчет ИНП'!B15</f>
        <v>СП Первомайское </v>
      </c>
      <c r="C14" s="72"/>
      <c r="D14" s="78"/>
      <c r="E14" s="78"/>
      <c r="F14" s="17">
        <f>IF(БО!E15&lt;$E$7,БО!E15,0)</f>
        <v>0.6420104423565669</v>
      </c>
      <c r="G14" s="4">
        <f>ИБР!AG15</f>
        <v>2.132290334837437</v>
      </c>
      <c r="H14" s="4">
        <f t="shared" si="0"/>
        <v>0.8924715392888958</v>
      </c>
    </row>
    <row r="15" spans="1:8" ht="18.75">
      <c r="A15" s="3" t="s">
        <v>91</v>
      </c>
      <c r="B15" s="23" t="str">
        <f>'расчет ИНП'!B16</f>
        <v>СП Субуктуйское </v>
      </c>
      <c r="C15" s="72"/>
      <c r="D15" s="78"/>
      <c r="E15" s="78"/>
      <c r="F15" s="17">
        <f>IF(БО!E16&lt;$E$7,БО!E16,0)</f>
        <v>0.4994568118199419</v>
      </c>
      <c r="G15" s="4">
        <f>ИБР!AG16</f>
        <v>2.1602968593152676</v>
      </c>
      <c r="H15" s="4">
        <f t="shared" si="0"/>
        <v>1.2628288193964208</v>
      </c>
    </row>
    <row r="16" spans="1:8" ht="18.75">
      <c r="A16" s="3" t="s">
        <v>92</v>
      </c>
      <c r="B16" s="23" t="str">
        <f>'расчет ИНП'!B17</f>
        <v>СП Тамирское </v>
      </c>
      <c r="C16" s="72"/>
      <c r="D16" s="78"/>
      <c r="E16" s="78"/>
      <c r="F16" s="17">
        <f>IF(БО!E17&lt;$E$7,БО!E17,0)</f>
        <v>0</v>
      </c>
      <c r="G16" s="4">
        <f>ИБР!AG17</f>
        <v>1.0852046365484702</v>
      </c>
      <c r="H16" s="4">
        <f t="shared" si="0"/>
        <v>0</v>
      </c>
    </row>
    <row r="17" spans="1:8" ht="18.75">
      <c r="A17" s="3" t="s">
        <v>93</v>
      </c>
      <c r="B17" s="23" t="str">
        <f>'расчет ИНП'!B18</f>
        <v>СП Усть-Киранское </v>
      </c>
      <c r="C17" s="72"/>
      <c r="D17" s="78"/>
      <c r="E17" s="78"/>
      <c r="F17" s="17">
        <f>IF(БО!E18&lt;$E$7,БО!E18,0)</f>
        <v>0</v>
      </c>
      <c r="G17" s="4">
        <f>ИБР!AG18</f>
        <v>0.9441150740793941</v>
      </c>
      <c r="H17" s="4">
        <f t="shared" si="0"/>
        <v>0</v>
      </c>
    </row>
    <row r="18" spans="1:8" ht="18.75">
      <c r="A18" s="3" t="s">
        <v>94</v>
      </c>
      <c r="B18" s="23" t="str">
        <f>'расчет ИНП'!B19</f>
        <v>СП Усть-Кяхтинское </v>
      </c>
      <c r="C18" s="72"/>
      <c r="D18" s="78"/>
      <c r="E18" s="78"/>
      <c r="F18" s="17">
        <f>IF(БО!E19&lt;$E$7,БО!E19,0)</f>
        <v>0.8712843437019041</v>
      </c>
      <c r="G18" s="4">
        <f>ИБР!AG19</f>
        <v>0.8608359160313673</v>
      </c>
      <c r="H18" s="4">
        <f t="shared" si="0"/>
        <v>0.13045788927492952</v>
      </c>
    </row>
    <row r="19" spans="1:8" ht="18.75">
      <c r="A19" s="3" t="s">
        <v>95</v>
      </c>
      <c r="B19" s="23" t="str">
        <f>'расчет ИНП'!B20</f>
        <v>СП Хоронхойское </v>
      </c>
      <c r="C19" s="72"/>
      <c r="D19" s="78"/>
      <c r="E19" s="78"/>
      <c r="F19" s="17">
        <f>IF(БО!E20&lt;$E$7,БО!E20,0)</f>
        <v>0.8765454816615273</v>
      </c>
      <c r="G19" s="4">
        <f>ИБР!AG20</f>
        <v>0.8642282041482446</v>
      </c>
      <c r="H19" s="4">
        <f t="shared" si="0"/>
        <v>0.12567694355453524</v>
      </c>
    </row>
    <row r="20" spans="1:8" ht="18.75">
      <c r="A20" s="3" t="s">
        <v>96</v>
      </c>
      <c r="B20" s="23" t="str">
        <f>'расчет ИНП'!B21</f>
        <v>СП Чикойское </v>
      </c>
      <c r="C20" s="72"/>
      <c r="D20" s="78"/>
      <c r="E20" s="78"/>
      <c r="F20" s="17">
        <f>IF(БО!E21&lt;$E$7,БО!E21,0)</f>
        <v>0.49441456758999763</v>
      </c>
      <c r="G20" s="4">
        <f>ИБР!AG21</f>
        <v>1.420215884812393</v>
      </c>
      <c r="H20" s="4">
        <f t="shared" si="0"/>
        <v>0.8385446239506706</v>
      </c>
    </row>
    <row r="21" spans="1:8" ht="18.75">
      <c r="A21" s="3" t="s">
        <v>97</v>
      </c>
      <c r="B21" s="23" t="str">
        <f>'расчет ИНП'!B22</f>
        <v>СП Шарагольское </v>
      </c>
      <c r="C21" s="72"/>
      <c r="D21" s="78"/>
      <c r="E21" s="78"/>
      <c r="F21" s="17">
        <f>IF(БО!E22&lt;$E$7,БО!E22,0)</f>
        <v>0.8306824101377194</v>
      </c>
      <c r="G21" s="4">
        <f>ИБР!AG22</f>
        <v>1.2588370050053066</v>
      </c>
      <c r="H21" s="4">
        <f t="shared" si="0"/>
        <v>0.25029609952635823</v>
      </c>
    </row>
    <row r="22" spans="1:8" ht="21" customHeight="1">
      <c r="A22" s="3" t="s">
        <v>98</v>
      </c>
      <c r="B22" s="23" t="str">
        <f>'расчет ИНП'!B23</f>
        <v>ГП Город Кяхта </v>
      </c>
      <c r="C22" s="72"/>
      <c r="D22" s="78"/>
      <c r="E22" s="78"/>
      <c r="F22" s="17">
        <f>IF(БО!E23&lt;$E$7,БО!E23,0)</f>
        <v>0</v>
      </c>
      <c r="G22" s="4">
        <f>ИБР!AG23</f>
        <v>0.8603528709715829</v>
      </c>
      <c r="H22" s="4">
        <f t="shared" si="0"/>
        <v>0</v>
      </c>
    </row>
    <row r="23" spans="1:8" ht="18.75">
      <c r="A23" s="3" t="s">
        <v>99</v>
      </c>
      <c r="B23" s="23" t="str">
        <f>'расчет ИНП'!B24</f>
        <v>ГП Наушкинское </v>
      </c>
      <c r="C23" s="72"/>
      <c r="D23" s="78"/>
      <c r="E23" s="78"/>
      <c r="F23" s="17">
        <f>IF(БО!E24&lt;$E$7,БО!E24,0)</f>
        <v>0</v>
      </c>
      <c r="G23" s="4">
        <f>ИБР!AG24</f>
        <v>1.0308836507179304</v>
      </c>
      <c r="H23" s="4">
        <f t="shared" si="0"/>
        <v>0</v>
      </c>
    </row>
    <row r="24" spans="1:8" ht="18.75">
      <c r="A24" s="68" t="s">
        <v>2</v>
      </c>
      <c r="B24" s="69"/>
      <c r="C24" s="20">
        <f>SUM(C7:C23)</f>
        <v>64.5</v>
      </c>
      <c r="D24" s="5"/>
      <c r="E24" s="5"/>
      <c r="F24" s="17"/>
      <c r="G24" s="5"/>
      <c r="H24" s="4">
        <v>0</v>
      </c>
    </row>
    <row r="25" ht="18.75">
      <c r="H25" s="44">
        <f>SUM(H7:H24)</f>
        <v>6.027719164042252</v>
      </c>
    </row>
    <row r="27" spans="1:8" s="16" customFormat="1" ht="18.75">
      <c r="A27" s="1"/>
      <c r="B27" s="1"/>
      <c r="C27" s="1"/>
      <c r="D27" s="1"/>
      <c r="E27" s="1"/>
      <c r="F27" s="1"/>
      <c r="G27" s="1"/>
      <c r="H27" s="1"/>
    </row>
  </sheetData>
  <sheetProtection/>
  <mergeCells count="6">
    <mergeCell ref="D7:D23"/>
    <mergeCell ref="E7:E23"/>
    <mergeCell ref="A24:B24"/>
    <mergeCell ref="B5:B6"/>
    <mergeCell ref="A5:A6"/>
    <mergeCell ref="C7:C23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BreakPreview" zoomScale="60" zoomScaleNormal="75" zoomScalePageLayoutView="0" workbookViewId="0" topLeftCell="A1">
      <selection activeCell="E33" sqref="E33"/>
    </sheetView>
  </sheetViews>
  <sheetFormatPr defaultColWidth="9.140625" defaultRowHeight="12.75"/>
  <cols>
    <col min="1" max="1" width="7.421875" style="1" customWidth="1"/>
    <col min="2" max="2" width="35.28125" style="1" customWidth="1"/>
    <col min="3" max="3" width="20.421875" style="1" customWidth="1"/>
    <col min="4" max="5" width="18.140625" style="1" customWidth="1"/>
    <col min="6" max="6" width="17.00390625" style="15" customWidth="1"/>
    <col min="7" max="7" width="14.7109375" style="15" customWidth="1"/>
    <col min="8" max="16384" width="9.140625" style="15" customWidth="1"/>
  </cols>
  <sheetData>
    <row r="1" spans="1:5" s="16" customFormat="1" ht="18.75">
      <c r="A1" s="9" t="s">
        <v>144</v>
      </c>
      <c r="B1" s="9"/>
      <c r="C1" s="2"/>
      <c r="D1" s="2"/>
      <c r="E1" s="2"/>
    </row>
    <row r="2" spans="1:5" s="16" customFormat="1" ht="18.75">
      <c r="A2" s="2"/>
      <c r="B2" s="2"/>
      <c r="C2" s="2"/>
      <c r="D2" s="2"/>
      <c r="E2" s="2"/>
    </row>
    <row r="3" spans="1:5" s="16" customFormat="1" ht="18.75">
      <c r="A3" s="2"/>
      <c r="B3" s="2" t="s">
        <v>1</v>
      </c>
      <c r="C3" s="2" t="s">
        <v>116</v>
      </c>
      <c r="D3" s="2"/>
      <c r="E3" s="2"/>
    </row>
    <row r="4" spans="1:5" s="16" customFormat="1" ht="18.75">
      <c r="A4" s="2"/>
      <c r="B4" s="2"/>
      <c r="C4" s="2"/>
      <c r="D4" s="2"/>
      <c r="E4" s="2"/>
    </row>
    <row r="5" spans="1:7" s="13" customFormat="1" ht="159.75" customHeight="1">
      <c r="A5" s="66" t="s">
        <v>4</v>
      </c>
      <c r="B5" s="66" t="s">
        <v>0</v>
      </c>
      <c r="C5" s="6" t="s">
        <v>143</v>
      </c>
      <c r="D5" s="6" t="s">
        <v>82</v>
      </c>
      <c r="E5" s="6" t="s">
        <v>8</v>
      </c>
      <c r="F5" s="6" t="s">
        <v>78</v>
      </c>
      <c r="G5" s="6" t="s">
        <v>79</v>
      </c>
    </row>
    <row r="6" spans="1:7" s="14" customFormat="1" ht="18.75">
      <c r="A6" s="67"/>
      <c r="B6" s="67"/>
      <c r="C6" s="8" t="s">
        <v>80</v>
      </c>
      <c r="D6" s="8" t="s">
        <v>81</v>
      </c>
      <c r="E6" s="8" t="s">
        <v>72</v>
      </c>
      <c r="F6" s="8"/>
      <c r="G6" s="8" t="s">
        <v>3</v>
      </c>
    </row>
    <row r="7" spans="1:7" ht="18.75">
      <c r="A7" s="3" t="s">
        <v>83</v>
      </c>
      <c r="B7" s="23" t="str">
        <f>'Объем средств'!B7</f>
        <v>СП Алтайское </v>
      </c>
      <c r="C7" s="86">
        <v>64.5</v>
      </c>
      <c r="D7" s="4">
        <f>'Объем средств'!H7</f>
        <v>0.4141424981812745</v>
      </c>
      <c r="E7" s="4">
        <f>ИНП!C8</f>
        <v>688</v>
      </c>
      <c r="F7" s="4">
        <f>ROUND(D7*E7,1)</f>
        <v>284.9</v>
      </c>
      <c r="G7" s="17">
        <f>ROUND(($C$7*F7)/$F$24,1)</f>
        <v>4.9</v>
      </c>
    </row>
    <row r="8" spans="1:7" ht="18.75">
      <c r="A8" s="3" t="s">
        <v>84</v>
      </c>
      <c r="B8" s="23" t="str">
        <f>'Объем средств'!B8</f>
        <v>СП Большекударинское </v>
      </c>
      <c r="C8" s="87"/>
      <c r="D8" s="4">
        <f>'Объем средств'!H8</f>
        <v>0</v>
      </c>
      <c r="E8" s="4">
        <f>ИНП!C9</f>
        <v>1605</v>
      </c>
      <c r="F8" s="4">
        <f>ROUND(D8*E8,1)</f>
        <v>0</v>
      </c>
      <c r="G8" s="17">
        <f aca="true" t="shared" si="0" ref="G8:G23">ROUND(($C$7*F8)/$F$24,1)</f>
        <v>0</v>
      </c>
    </row>
    <row r="9" spans="1:7" ht="18.75">
      <c r="A9" s="3" t="s">
        <v>85</v>
      </c>
      <c r="B9" s="23" t="str">
        <f>'Объем средств'!B9</f>
        <v>СП Большелугское </v>
      </c>
      <c r="C9" s="87"/>
      <c r="D9" s="4">
        <f>'Объем средств'!H9</f>
        <v>0.11284936538567926</v>
      </c>
      <c r="E9" s="4">
        <f>ИНП!C10</f>
        <v>892</v>
      </c>
      <c r="F9" s="4">
        <f>ROUND(D9*E9,1)</f>
        <v>100.7</v>
      </c>
      <c r="G9" s="17">
        <f t="shared" si="0"/>
        <v>1.7</v>
      </c>
    </row>
    <row r="10" spans="1:7" ht="18.75">
      <c r="A10" s="3" t="s">
        <v>86</v>
      </c>
      <c r="B10" s="23" t="str">
        <f>'Объем средств'!B10</f>
        <v>СП Зарянское </v>
      </c>
      <c r="C10" s="87"/>
      <c r="D10" s="4">
        <f>'Объем средств'!H10</f>
        <v>0.6933449345258812</v>
      </c>
      <c r="E10" s="4">
        <f>ИНП!C11</f>
        <v>557</v>
      </c>
      <c r="F10" s="4">
        <f>ROUND(D10*E10,1)</f>
        <v>386.2</v>
      </c>
      <c r="G10" s="17">
        <f t="shared" si="0"/>
        <v>6.6</v>
      </c>
    </row>
    <row r="11" spans="1:7" ht="18.75">
      <c r="A11" s="3" t="s">
        <v>87</v>
      </c>
      <c r="B11" s="23" t="str">
        <f>'Объем средств'!B11</f>
        <v>СП Кударинское </v>
      </c>
      <c r="C11" s="87"/>
      <c r="D11" s="4">
        <f>'Объем средств'!H11</f>
        <v>0</v>
      </c>
      <c r="E11" s="4">
        <f>ИНП!C12</f>
        <v>1492</v>
      </c>
      <c r="F11" s="4">
        <f>ROUND(D11*E11,1)</f>
        <v>0</v>
      </c>
      <c r="G11" s="17">
        <f t="shared" si="0"/>
        <v>0</v>
      </c>
    </row>
    <row r="12" spans="1:7" ht="18.75">
      <c r="A12" s="3" t="s">
        <v>88</v>
      </c>
      <c r="B12" s="23" t="str">
        <f>'Объем средств'!B12</f>
        <v>СП Малокударинское </v>
      </c>
      <c r="C12" s="87"/>
      <c r="D12" s="4">
        <f>'Объем средств'!H12</f>
        <v>0.4093235777718997</v>
      </c>
      <c r="E12" s="4">
        <f>ИНП!C13</f>
        <v>605</v>
      </c>
      <c r="F12" s="4">
        <f aca="true" t="shared" si="1" ref="F12:F22">ROUND(D12*E12,1)</f>
        <v>247.6</v>
      </c>
      <c r="G12" s="17">
        <f t="shared" si="0"/>
        <v>4.2</v>
      </c>
    </row>
    <row r="13" spans="1:7" ht="18.75">
      <c r="A13" s="3" t="s">
        <v>89</v>
      </c>
      <c r="B13" s="23" t="str">
        <f>'Объем средств'!B13</f>
        <v>СП Мурочинское </v>
      </c>
      <c r="C13" s="87"/>
      <c r="D13" s="4">
        <f>'Объем средств'!H13</f>
        <v>0.8977828731857075</v>
      </c>
      <c r="E13" s="4">
        <f>ИНП!C14</f>
        <v>472</v>
      </c>
      <c r="F13" s="4">
        <f t="shared" si="1"/>
        <v>423.8</v>
      </c>
      <c r="G13" s="17">
        <f t="shared" si="0"/>
        <v>7.2</v>
      </c>
    </row>
    <row r="14" spans="1:7" ht="18.75">
      <c r="A14" s="3" t="s">
        <v>90</v>
      </c>
      <c r="B14" s="23" t="str">
        <f>'Объем средств'!B14</f>
        <v>СП Первомайское </v>
      </c>
      <c r="C14" s="87"/>
      <c r="D14" s="4">
        <f>'Объем средств'!H14</f>
        <v>0.8924715392888958</v>
      </c>
      <c r="E14" s="4">
        <f>ИНП!C15</f>
        <v>418</v>
      </c>
      <c r="F14" s="4">
        <f t="shared" si="1"/>
        <v>373.1</v>
      </c>
      <c r="G14" s="17">
        <f t="shared" si="0"/>
        <v>6.4</v>
      </c>
    </row>
    <row r="15" spans="1:7" ht="19.5" customHeight="1">
      <c r="A15" s="3" t="s">
        <v>91</v>
      </c>
      <c r="B15" s="23" t="str">
        <f>'Объем средств'!B15</f>
        <v>СП Субуктуйское </v>
      </c>
      <c r="C15" s="87"/>
      <c r="D15" s="4">
        <f>'Объем средств'!H15</f>
        <v>1.2628288193964208</v>
      </c>
      <c r="E15" s="4">
        <f>ИНП!C16</f>
        <v>410</v>
      </c>
      <c r="F15" s="4">
        <f t="shared" si="1"/>
        <v>517.8</v>
      </c>
      <c r="G15" s="17">
        <f t="shared" si="0"/>
        <v>8.8</v>
      </c>
    </row>
    <row r="16" spans="1:7" ht="18.75">
      <c r="A16" s="3" t="s">
        <v>92</v>
      </c>
      <c r="B16" s="23" t="str">
        <f>'Объем средств'!B16</f>
        <v>СП Тамирское </v>
      </c>
      <c r="C16" s="88"/>
      <c r="D16" s="4">
        <f>'Объем средств'!H16</f>
        <v>0</v>
      </c>
      <c r="E16" s="4">
        <f>ИНП!C17</f>
        <v>1219</v>
      </c>
      <c r="F16" s="4">
        <f t="shared" si="1"/>
        <v>0</v>
      </c>
      <c r="G16" s="17">
        <f t="shared" si="0"/>
        <v>0</v>
      </c>
    </row>
    <row r="17" spans="1:7" ht="18.75">
      <c r="A17" s="3" t="s">
        <v>93</v>
      </c>
      <c r="B17" s="23" t="str">
        <f>'Объем средств'!B17</f>
        <v>СП Усть-Киранское </v>
      </c>
      <c r="C17" s="88"/>
      <c r="D17" s="4">
        <f>'Объем средств'!H17</f>
        <v>0</v>
      </c>
      <c r="E17" s="4">
        <f>ИНП!C18</f>
        <v>1634</v>
      </c>
      <c r="F17" s="4">
        <f t="shared" si="1"/>
        <v>0</v>
      </c>
      <c r="G17" s="17">
        <f t="shared" si="0"/>
        <v>0</v>
      </c>
    </row>
    <row r="18" spans="1:7" ht="18.75">
      <c r="A18" s="3" t="s">
        <v>94</v>
      </c>
      <c r="B18" s="23" t="str">
        <f>'Объем средств'!B18</f>
        <v>СП Усть-Кяхтинское </v>
      </c>
      <c r="C18" s="88"/>
      <c r="D18" s="4">
        <f>'Объем средств'!H18</f>
        <v>0.13045788927492952</v>
      </c>
      <c r="E18" s="43">
        <v>2127</v>
      </c>
      <c r="F18" s="4">
        <f t="shared" si="1"/>
        <v>277.5</v>
      </c>
      <c r="G18" s="17">
        <f t="shared" si="0"/>
        <v>4.7</v>
      </c>
    </row>
    <row r="19" spans="1:7" ht="18.75">
      <c r="A19" s="3" t="s">
        <v>95</v>
      </c>
      <c r="B19" s="23" t="str">
        <f>'Объем средств'!B19</f>
        <v>СП Хоронхойское </v>
      </c>
      <c r="C19" s="88"/>
      <c r="D19" s="4">
        <f>'Объем средств'!H19</f>
        <v>0.12567694355453524</v>
      </c>
      <c r="E19" s="43">
        <v>2211</v>
      </c>
      <c r="F19" s="4">
        <f t="shared" si="1"/>
        <v>277.9</v>
      </c>
      <c r="G19" s="17">
        <f t="shared" si="0"/>
        <v>4.7</v>
      </c>
    </row>
    <row r="20" spans="1:7" ht="18.75">
      <c r="A20" s="3" t="s">
        <v>96</v>
      </c>
      <c r="B20" s="23" t="str">
        <f>'Объем средств'!B20</f>
        <v>СП Чикойское </v>
      </c>
      <c r="C20" s="88"/>
      <c r="D20" s="4">
        <f>'Объем средств'!H20</f>
        <v>0.8385446239506706</v>
      </c>
      <c r="E20" s="4">
        <v>754</v>
      </c>
      <c r="F20" s="4">
        <f t="shared" si="1"/>
        <v>632.3</v>
      </c>
      <c r="G20" s="17">
        <f t="shared" si="0"/>
        <v>10.8</v>
      </c>
    </row>
    <row r="21" spans="1:7" ht="18.75">
      <c r="A21" s="3" t="s">
        <v>97</v>
      </c>
      <c r="B21" s="23" t="str">
        <f>'Объем средств'!B21</f>
        <v>СП Шарагольское </v>
      </c>
      <c r="C21" s="88"/>
      <c r="D21" s="4">
        <f>'Объем средств'!H21</f>
        <v>0.25029609952635823</v>
      </c>
      <c r="E21" s="4">
        <v>1027</v>
      </c>
      <c r="F21" s="4">
        <f t="shared" si="1"/>
        <v>257.1</v>
      </c>
      <c r="G21" s="17">
        <f>ROUND(($C$7*F21)/$F$24,1)+0.1</f>
        <v>4.5</v>
      </c>
    </row>
    <row r="22" spans="1:7" ht="21" customHeight="1">
      <c r="A22" s="3" t="s">
        <v>98</v>
      </c>
      <c r="B22" s="23" t="str">
        <f>'Объем средств'!B22</f>
        <v>ГП Город Кяхта </v>
      </c>
      <c r="C22" s="88"/>
      <c r="D22" s="4">
        <f>'Объем средств'!H22</f>
        <v>0</v>
      </c>
      <c r="E22" s="4">
        <v>19359</v>
      </c>
      <c r="F22" s="4">
        <f t="shared" si="1"/>
        <v>0</v>
      </c>
      <c r="G22" s="17">
        <f t="shared" si="0"/>
        <v>0</v>
      </c>
    </row>
    <row r="23" spans="1:7" ht="18.75">
      <c r="A23" s="3" t="s">
        <v>99</v>
      </c>
      <c r="B23" s="23" t="str">
        <f>'Объем средств'!B23</f>
        <v>ГП Наушкинское </v>
      </c>
      <c r="C23" s="88"/>
      <c r="D23" s="4">
        <f>'Объем средств'!H23</f>
        <v>0</v>
      </c>
      <c r="E23" s="4">
        <v>3912</v>
      </c>
      <c r="F23" s="4">
        <f>ROUND(D23*E23,1)</f>
        <v>0</v>
      </c>
      <c r="G23" s="17">
        <f t="shared" si="0"/>
        <v>0</v>
      </c>
    </row>
    <row r="24" spans="1:7" ht="18.75">
      <c r="A24" s="68" t="s">
        <v>2</v>
      </c>
      <c r="B24" s="69"/>
      <c r="C24" s="24"/>
      <c r="D24" s="5">
        <f>SUM(D7:D23)</f>
        <v>6.027719164042252</v>
      </c>
      <c r="E24" s="5">
        <f>SUM(E7:E23)</f>
        <v>39382</v>
      </c>
      <c r="F24" s="5">
        <f>SUM(F7:F23)</f>
        <v>3778.9</v>
      </c>
      <c r="G24" s="45">
        <f>SUM(G7:G23)</f>
        <v>64.5</v>
      </c>
    </row>
    <row r="27" spans="1:5" s="16" customFormat="1" ht="18.75">
      <c r="A27" s="1"/>
      <c r="B27" s="1"/>
      <c r="C27" s="1"/>
      <c r="D27" s="1"/>
      <c r="E27" s="1"/>
    </row>
  </sheetData>
  <sheetProtection/>
  <mergeCells count="4">
    <mergeCell ref="A24:B24"/>
    <mergeCell ref="C7:C23"/>
    <mergeCell ref="B5:B6"/>
    <mergeCell ref="A5:A6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2014-02-10T09:21:02Z</cp:lastPrinted>
  <dcterms:created xsi:type="dcterms:W3CDTF">1996-10-08T23:32:33Z</dcterms:created>
  <dcterms:modified xsi:type="dcterms:W3CDTF">2014-02-12T07:16:30Z</dcterms:modified>
  <cp:category/>
  <cp:version/>
  <cp:contentType/>
  <cp:contentStatus/>
</cp:coreProperties>
</file>