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4145" windowHeight="7710" activeTab="4"/>
  </bookViews>
  <sheets>
    <sheet name="ИНП" sheetId="1" r:id="rId1"/>
    <sheet name="ИБР" sheetId="2" r:id="rId2"/>
    <sheet name="БО" sheetId="3" r:id="rId3"/>
    <sheet name="Объем средств" sheetId="4" r:id="rId4"/>
    <sheet name="ИТОГ" sheetId="5" r:id="rId5"/>
  </sheets>
  <definedNames>
    <definedName name="_xlnm.Print_Titles" localSheetId="1">'ИБР'!$A:$B</definedName>
    <definedName name="_xlnm.Print_Titles" localSheetId="3">'Объем средств'!$A:$B</definedName>
    <definedName name="_xlnm.Print_Area" localSheetId="1">'ИБР'!$A$1:$AG$26</definedName>
    <definedName name="_xlnm.Print_Area" localSheetId="3">'Объем средств'!$A$1:$M$29</definedName>
  </definedNames>
  <calcPr fullCalcOnLoad="1"/>
</workbook>
</file>

<file path=xl/sharedStrings.xml><?xml version="1.0" encoding="utf-8"?>
<sst xmlns="http://schemas.openxmlformats.org/spreadsheetml/2006/main" count="255" uniqueCount="158">
  <si>
    <t>Поселения</t>
  </si>
  <si>
    <t>Муниципальный район:</t>
  </si>
  <si>
    <t>Итого по МР:</t>
  </si>
  <si>
    <t>№ п/п</t>
  </si>
  <si>
    <t>Спi</t>
  </si>
  <si>
    <t>Расчет индекса налогового потенциала поселения</t>
  </si>
  <si>
    <t>Численность постоянного населения поселения</t>
  </si>
  <si>
    <t>Налоговый потенциал общий</t>
  </si>
  <si>
    <t>НПi1</t>
  </si>
  <si>
    <t>НПi2</t>
  </si>
  <si>
    <t>НПi3</t>
  </si>
  <si>
    <t>Нпi</t>
  </si>
  <si>
    <t>НДФЛ</t>
  </si>
  <si>
    <t>Земельный налог</t>
  </si>
  <si>
    <t>НИФЛ</t>
  </si>
  <si>
    <t>Налоговый потенциал</t>
  </si>
  <si>
    <t>Дот (П)i</t>
  </si>
  <si>
    <t>ИНПi</t>
  </si>
  <si>
    <t>Индекс налогового потенциала</t>
  </si>
  <si>
    <t>Расчет индекса бюджетных расходов поселения</t>
  </si>
  <si>
    <t>Коэффициенты удорожания</t>
  </si>
  <si>
    <t>дисперсности расселения</t>
  </si>
  <si>
    <t>масштаба</t>
  </si>
  <si>
    <t>урбанизации</t>
  </si>
  <si>
    <t>КМi</t>
  </si>
  <si>
    <t>КДi</t>
  </si>
  <si>
    <t>КУi</t>
  </si>
  <si>
    <t>Муниципальное управление</t>
  </si>
  <si>
    <t>Организация благоустройства</t>
  </si>
  <si>
    <t>Организация библиотечного обслуживания</t>
  </si>
  <si>
    <t>Организация досуга (культура)</t>
  </si>
  <si>
    <t>Развитие массовой физкультуры и спорта</t>
  </si>
  <si>
    <t>Иные вопросы местного значения</t>
  </si>
  <si>
    <t>Скорректированная численность потребителей бюджетных услуг по видам расходов</t>
  </si>
  <si>
    <t>ПКi1</t>
  </si>
  <si>
    <t>ПКi3</t>
  </si>
  <si>
    <t>ПКi4</t>
  </si>
  <si>
    <t>ПКi5</t>
  </si>
  <si>
    <t>ПКi6</t>
  </si>
  <si>
    <t>ПКi7</t>
  </si>
  <si>
    <t>Индекс бюджетных расходов поселения по отдельному виду расходов</t>
  </si>
  <si>
    <t>ИБРi1</t>
  </si>
  <si>
    <t>ИБРi3</t>
  </si>
  <si>
    <t>ИБРi4</t>
  </si>
  <si>
    <t>ИБРi5</t>
  </si>
  <si>
    <t>ИБРi6</t>
  </si>
  <si>
    <t>ИБРi7</t>
  </si>
  <si>
    <t>ФР1</t>
  </si>
  <si>
    <t>ФР3</t>
  </si>
  <si>
    <t>ФР4</t>
  </si>
  <si>
    <t>ФР5</t>
  </si>
  <si>
    <t>ФР6</t>
  </si>
  <si>
    <t>ФР7</t>
  </si>
  <si>
    <t>Доля каждого вида расходов в репрезентативной системе расходов бюджетов поселений</t>
  </si>
  <si>
    <t>а1</t>
  </si>
  <si>
    <t>а3</t>
  </si>
  <si>
    <t>а4</t>
  </si>
  <si>
    <t>а5</t>
  </si>
  <si>
    <t>а6</t>
  </si>
  <si>
    <t>а7</t>
  </si>
  <si>
    <t>Индекс бюджетных расходов поселений</t>
  </si>
  <si>
    <t>ИБРi</t>
  </si>
  <si>
    <t>в том числе:</t>
  </si>
  <si>
    <t>городское</t>
  </si>
  <si>
    <t>проживающее в населенных пунктах &lt; 500 человек</t>
  </si>
  <si>
    <t xml:space="preserve">Бюджетная обеспеченность </t>
  </si>
  <si>
    <t>Расчет бюджетной обеспечнности поселений</t>
  </si>
  <si>
    <t>Ni</t>
  </si>
  <si>
    <t>Субсидия из бюджета поселения в республиканский бюджет</t>
  </si>
  <si>
    <t>доля доведения</t>
  </si>
  <si>
    <t>Районный фонд</t>
  </si>
  <si>
    <t>Бюджетная обеспеченность с учетом объема средств (70%)</t>
  </si>
  <si>
    <t>Объем средств для доведения до уровня бюджетной обеспеченности лидера до 70 %</t>
  </si>
  <si>
    <t>Объем средств, необходимый для доведения до максимального уровня БО</t>
  </si>
  <si>
    <t>7=4+5+6</t>
  </si>
  <si>
    <t>7="1"+5/3</t>
  </si>
  <si>
    <t>8="1"+4/3</t>
  </si>
  <si>
    <t>9=3*6</t>
  </si>
  <si>
    <t>10=3*8</t>
  </si>
  <si>
    <t>11=3*6</t>
  </si>
  <si>
    <t>12=3*6</t>
  </si>
  <si>
    <t>13=3*6</t>
  </si>
  <si>
    <t>14=3*7</t>
  </si>
  <si>
    <t>15=(9/3)/(Сумм9/Сумм3)</t>
  </si>
  <si>
    <t>16=(10/3)/(Сумм10/Сумм3)</t>
  </si>
  <si>
    <t>17=(11/3)/(Сумм11/Сумм3)</t>
  </si>
  <si>
    <t>18=(12/3)/(Сумм12/Сумм3)</t>
  </si>
  <si>
    <t>19=(13/3)/(Сумм13/Сумм3)</t>
  </si>
  <si>
    <t>20=(14/3)/(Сумм14/Сумм3)</t>
  </si>
  <si>
    <t>27=21/(21+22+23+24+25+26)</t>
  </si>
  <si>
    <t>28=22/(21+22+23+24+25+26)</t>
  </si>
  <si>
    <t>29=23/(21+22+23+24+25+26)</t>
  </si>
  <si>
    <t>30=24/(21+22+23+24+25+26)</t>
  </si>
  <si>
    <t>31=25/(21+22+23+24+25+26)</t>
  </si>
  <si>
    <t>32=25/(21+22+23+24+25+26)</t>
  </si>
  <si>
    <t>33=27*15+28*16+29*17+30*18+31*19+31*20+32*21</t>
  </si>
  <si>
    <t>6=("0,4"*3+"0,6"*Сред3)/3</t>
  </si>
  <si>
    <t>Степень отстования от бюджетной обеспеченности лидера</t>
  </si>
  <si>
    <t>Индекс бюджетных расходов</t>
  </si>
  <si>
    <t>8=(7/3)/((Сумм7/Сумм3)</t>
  </si>
  <si>
    <t>3.1</t>
  </si>
  <si>
    <t>3.2</t>
  </si>
  <si>
    <t>3.3</t>
  </si>
  <si>
    <t>3.4</t>
  </si>
  <si>
    <t>3.5</t>
  </si>
  <si>
    <t>3.6</t>
  </si>
  <si>
    <t>3.7</t>
  </si>
  <si>
    <t>3.9</t>
  </si>
  <si>
    <t>3.10</t>
  </si>
  <si>
    <t>3.11</t>
  </si>
  <si>
    <t>3.13</t>
  </si>
  <si>
    <t>3.14</t>
  </si>
  <si>
    <t>3.15</t>
  </si>
  <si>
    <t>3.16</t>
  </si>
  <si>
    <t>3.17</t>
  </si>
  <si>
    <t xml:space="preserve">Кяхтинский </t>
  </si>
  <si>
    <t xml:space="preserve">СП Алтайское </t>
  </si>
  <si>
    <t xml:space="preserve">СП Большекударинское </t>
  </si>
  <si>
    <t xml:space="preserve">СП Большелугское </t>
  </si>
  <si>
    <t xml:space="preserve">СП Зарянское </t>
  </si>
  <si>
    <t xml:space="preserve">СП Кударинское </t>
  </si>
  <si>
    <t xml:space="preserve">СП Малокударинское </t>
  </si>
  <si>
    <t xml:space="preserve">СП Мурочинское </t>
  </si>
  <si>
    <t xml:space="preserve">СП Первомайское </t>
  </si>
  <si>
    <t xml:space="preserve">СП Субуктуйское </t>
  </si>
  <si>
    <t xml:space="preserve">СП Тамирское </t>
  </si>
  <si>
    <t xml:space="preserve">СП Усть-Кяхтинское </t>
  </si>
  <si>
    <t xml:space="preserve">СП Хоронхойское </t>
  </si>
  <si>
    <t xml:space="preserve">СП Чикойское </t>
  </si>
  <si>
    <t xml:space="preserve">СП Шарагольское </t>
  </si>
  <si>
    <t xml:space="preserve">ГП Город Кяхта </t>
  </si>
  <si>
    <t xml:space="preserve">ГП Наушкинское </t>
  </si>
  <si>
    <t xml:space="preserve">Кяхта </t>
  </si>
  <si>
    <t>3.18</t>
  </si>
  <si>
    <t>3.19</t>
  </si>
  <si>
    <t xml:space="preserve">СП Усть-киранское </t>
  </si>
  <si>
    <t>Окончательный расчет дотации</t>
  </si>
  <si>
    <t>Численность постоянного населения поселения на 01.01.2009</t>
  </si>
  <si>
    <t>Прогноз поступлений налоговых доходов на 2010 год</t>
  </si>
  <si>
    <t>Дотация из республиканского ФФПП на 2010 год</t>
  </si>
  <si>
    <t>Средний уровень налоговых доходов в расчете на душу населения на 2010 год</t>
  </si>
  <si>
    <t>Расчет дотаций из районного фонда финансовой поддержки поселений на 2010 год</t>
  </si>
  <si>
    <t>Расходы бюджетов поселений по отдельному виду расходов в 2008 году</t>
  </si>
  <si>
    <t>Расстояние до административного центра поселения</t>
  </si>
  <si>
    <t>Дотации на выравнивание БО до объединения</t>
  </si>
  <si>
    <t>Дотации на выравнивание БО после объединения</t>
  </si>
  <si>
    <t>Сумма компенсаации потерь в результате объединения</t>
  </si>
  <si>
    <t>Сумма на стимулирование</t>
  </si>
  <si>
    <t>Всего расчетная субсидия</t>
  </si>
  <si>
    <t>ВСЕГО</t>
  </si>
  <si>
    <t>центр</t>
  </si>
  <si>
    <t>Расчетная субсидия на компенсацию потерь и стимулирование МО "Кяхтинский район"</t>
  </si>
  <si>
    <t>СП "Большелугское"</t>
  </si>
  <si>
    <t>СП "Новодесятниковское"</t>
  </si>
  <si>
    <t>ВСЕГО ПО СП "Большелугское"</t>
  </si>
  <si>
    <t>СП "Тамирское"</t>
  </si>
  <si>
    <t>СП "Убур-Киретское"</t>
  </si>
  <si>
    <t>ВСЕГО ПО СП "Тамирское"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</si>
</sst>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_(* #,##0.0_);_(* \(#,##0.0\);_(* &quot;-&quot;??_);_(@_)"/>
    <numFmt numFmtId="183" formatCode="#,##0.0"/>
  </numFmts>
  <fonts count="3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72" fontId="1" fillId="24" borderId="10" xfId="0" applyNumberFormat="1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172" fontId="2" fillId="25" borderId="10" xfId="0" applyNumberFormat="1" applyFont="1" applyFill="1" applyBorder="1" applyAlignment="1">
      <alignment/>
    </xf>
    <xf numFmtId="9" fontId="2" fillId="0" borderId="10" xfId="57" applyFont="1" applyBorder="1" applyAlignment="1">
      <alignment/>
    </xf>
    <xf numFmtId="172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2" fontId="1" fillId="0" borderId="0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25" borderId="13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1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172" fontId="8" fillId="2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2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right" vertical="center"/>
    </xf>
    <xf numFmtId="172" fontId="1" fillId="25" borderId="10" xfId="0" applyNumberFormat="1" applyFont="1" applyFill="1" applyBorder="1" applyAlignment="1">
      <alignment horizontal="right" vertical="center"/>
    </xf>
    <xf numFmtId="172" fontId="2" fillId="25" borderId="10" xfId="0" applyNumberFormat="1" applyFont="1" applyFill="1" applyBorder="1" applyAlignment="1">
      <alignment horizontal="right" vertical="center"/>
    </xf>
    <xf numFmtId="49" fontId="1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vertical="center" wrapText="1"/>
    </xf>
    <xf numFmtId="1" fontId="1" fillId="24" borderId="10" xfId="0" applyNumberFormat="1" applyFont="1" applyFill="1" applyBorder="1" applyAlignment="1">
      <alignment/>
    </xf>
    <xf numFmtId="172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0" fillId="1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15" borderId="17" xfId="0" applyFont="1" applyFill="1" applyBorder="1" applyAlignment="1">
      <alignment/>
    </xf>
    <xf numFmtId="0" fontId="12" fillId="15" borderId="10" xfId="0" applyFont="1" applyFill="1" applyBorder="1" applyAlignment="1">
      <alignment/>
    </xf>
    <xf numFmtId="0" fontId="12" fillId="15" borderId="18" xfId="0" applyFont="1" applyFill="1" applyBorder="1" applyAlignment="1">
      <alignment/>
    </xf>
    <xf numFmtId="0" fontId="0" fillId="0" borderId="16" xfId="0" applyBorder="1" applyAlignment="1">
      <alignment/>
    </xf>
    <xf numFmtId="0" fontId="1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/>
    </xf>
    <xf numFmtId="172" fontId="8" fillId="0" borderId="11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70" fontId="2" fillId="0" borderId="25" xfId="43" applyFont="1" applyBorder="1" applyAlignment="1">
      <alignment horizontal="center" vertical="center" wrapText="1"/>
    </xf>
    <xf numFmtId="170" fontId="2" fillId="0" borderId="26" xfId="43" applyFont="1" applyBorder="1" applyAlignment="1">
      <alignment horizontal="center" vertical="center" wrapText="1"/>
    </xf>
    <xf numFmtId="170" fontId="2" fillId="0" borderId="23" xfId="43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1" fillId="2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175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4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14" sqref="A14"/>
    </sheetView>
  </sheetViews>
  <sheetFormatPr defaultColWidth="9.140625" defaultRowHeight="12.75"/>
  <cols>
    <col min="1" max="1" width="7.421875" style="1" customWidth="1"/>
    <col min="2" max="2" width="29.7109375" style="1" customWidth="1"/>
    <col min="3" max="3" width="17.421875" style="1" customWidth="1"/>
    <col min="4" max="4" width="13.421875" style="1" customWidth="1"/>
    <col min="5" max="5" width="17.421875" style="1" customWidth="1"/>
    <col min="6" max="6" width="15.7109375" style="1" customWidth="1"/>
    <col min="7" max="7" width="19.8515625" style="1" customWidth="1"/>
    <col min="8" max="8" width="14.28125" style="1" customWidth="1"/>
    <col min="9" max="9" width="14.421875" style="1" customWidth="1"/>
    <col min="10" max="10" width="13.140625" style="1" customWidth="1"/>
    <col min="11" max="11" width="21.140625" style="1" customWidth="1"/>
    <col min="12" max="16384" width="9.140625" style="1" customWidth="1"/>
  </cols>
  <sheetData>
    <row r="1" spans="1:2" s="2" customFormat="1" ht="18.75">
      <c r="A1" s="8" t="s">
        <v>5</v>
      </c>
      <c r="B1" s="8"/>
    </row>
    <row r="2" s="2" customFormat="1" ht="18.75"/>
    <row r="3" spans="1:3" s="2" customFormat="1" ht="18.75">
      <c r="A3" s="95" t="s">
        <v>1</v>
      </c>
      <c r="B3" s="95"/>
      <c r="C3" s="2" t="s">
        <v>115</v>
      </c>
    </row>
    <row r="4" s="2" customFormat="1" ht="7.5" customHeight="1"/>
    <row r="5" spans="1:11" s="9" customFormat="1" ht="36" customHeight="1">
      <c r="A5" s="91" t="s">
        <v>3</v>
      </c>
      <c r="B5" s="91" t="s">
        <v>0</v>
      </c>
      <c r="C5" s="96" t="s">
        <v>137</v>
      </c>
      <c r="D5" s="90" t="s">
        <v>15</v>
      </c>
      <c r="E5" s="90"/>
      <c r="F5" s="90"/>
      <c r="G5" s="91" t="s">
        <v>7</v>
      </c>
      <c r="H5" s="91" t="s">
        <v>138</v>
      </c>
      <c r="I5" s="93" t="s">
        <v>139</v>
      </c>
      <c r="J5" s="91" t="s">
        <v>68</v>
      </c>
      <c r="K5" s="90" t="s">
        <v>18</v>
      </c>
    </row>
    <row r="6" spans="1:11" s="12" customFormat="1" ht="130.5" customHeight="1">
      <c r="A6" s="89"/>
      <c r="B6" s="89"/>
      <c r="C6" s="92"/>
      <c r="D6" s="5" t="s">
        <v>12</v>
      </c>
      <c r="E6" s="5" t="s">
        <v>13</v>
      </c>
      <c r="F6" s="5" t="s">
        <v>14</v>
      </c>
      <c r="G6" s="92"/>
      <c r="H6" s="92"/>
      <c r="I6" s="94"/>
      <c r="J6" s="92"/>
      <c r="K6" s="90"/>
    </row>
    <row r="7" spans="1:11" s="13" customFormat="1" ht="18.75" customHeight="1">
      <c r="A7" s="92"/>
      <c r="B7" s="92"/>
      <c r="C7" s="7" t="s">
        <v>67</v>
      </c>
      <c r="D7" s="7" t="s">
        <v>8</v>
      </c>
      <c r="E7" s="7" t="s">
        <v>9</v>
      </c>
      <c r="F7" s="7" t="s">
        <v>10</v>
      </c>
      <c r="G7" s="7" t="s">
        <v>11</v>
      </c>
      <c r="H7" s="7"/>
      <c r="I7" s="37" t="s">
        <v>16</v>
      </c>
      <c r="J7" s="7" t="s">
        <v>4</v>
      </c>
      <c r="K7" s="7" t="s">
        <v>17</v>
      </c>
    </row>
    <row r="8" spans="1:11" s="13" customFormat="1" ht="33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 t="s">
        <v>74</v>
      </c>
      <c r="H8" s="32">
        <v>8</v>
      </c>
      <c r="I8" s="32">
        <v>9</v>
      </c>
      <c r="J8" s="32">
        <v>8</v>
      </c>
      <c r="K8" s="32" t="s">
        <v>99</v>
      </c>
    </row>
    <row r="9" spans="1:11" s="14" customFormat="1" ht="18" customHeight="1">
      <c r="A9" s="26" t="s">
        <v>100</v>
      </c>
      <c r="B9" s="38" t="s">
        <v>116</v>
      </c>
      <c r="C9" s="86">
        <v>848</v>
      </c>
      <c r="D9" s="3">
        <v>118.8</v>
      </c>
      <c r="E9" s="3">
        <v>107</v>
      </c>
      <c r="F9" s="3">
        <v>5.8</v>
      </c>
      <c r="G9" s="3">
        <f>D9+E9+F9</f>
        <v>231.60000000000002</v>
      </c>
      <c r="H9" s="98">
        <v>36363</v>
      </c>
      <c r="I9" s="82">
        <v>3</v>
      </c>
      <c r="J9" s="83">
        <v>0</v>
      </c>
      <c r="K9" s="16">
        <f aca="true" t="shared" si="0" ref="K9:K25">((G9+I9-J9)/C9)/(($G$26+$I$26-$J$26)/$C$26)</f>
        <v>0.3515527576497861</v>
      </c>
    </row>
    <row r="10" spans="1:11" ht="18.75">
      <c r="A10" s="26" t="s">
        <v>101</v>
      </c>
      <c r="B10" s="38" t="s">
        <v>117</v>
      </c>
      <c r="C10" s="86">
        <v>1891</v>
      </c>
      <c r="D10" s="3">
        <v>280.5</v>
      </c>
      <c r="E10" s="3">
        <v>475.4</v>
      </c>
      <c r="F10" s="3">
        <v>3</v>
      </c>
      <c r="G10" s="3">
        <f aca="true" t="shared" si="1" ref="G10:G25">D10+E10+F10</f>
        <v>758.9</v>
      </c>
      <c r="H10" s="99"/>
      <c r="I10" s="82">
        <v>3.9</v>
      </c>
      <c r="J10" s="83">
        <v>0</v>
      </c>
      <c r="K10" s="16">
        <f t="shared" si="0"/>
        <v>0.5125987100874421</v>
      </c>
    </row>
    <row r="11" spans="1:11" ht="18.75">
      <c r="A11" s="53" t="s">
        <v>102</v>
      </c>
      <c r="B11" s="54" t="s">
        <v>118</v>
      </c>
      <c r="C11" s="55">
        <f>714+324</f>
        <v>1038</v>
      </c>
      <c r="D11" s="56">
        <f>103.7+22.6</f>
        <v>126.30000000000001</v>
      </c>
      <c r="E11" s="56">
        <f>86.3+98.4</f>
        <v>184.7</v>
      </c>
      <c r="F11" s="56">
        <f>12.8+2.7</f>
        <v>15.5</v>
      </c>
      <c r="G11" s="56">
        <f t="shared" si="1"/>
        <v>326.5</v>
      </c>
      <c r="H11" s="99"/>
      <c r="I11" s="39">
        <v>2.8</v>
      </c>
      <c r="J11" s="18">
        <v>0</v>
      </c>
      <c r="K11" s="57">
        <f t="shared" si="0"/>
        <v>0.40313706593511045</v>
      </c>
    </row>
    <row r="12" spans="1:11" ht="18.75">
      <c r="A12" s="26" t="s">
        <v>103</v>
      </c>
      <c r="B12" s="38" t="s">
        <v>119</v>
      </c>
      <c r="C12" s="86">
        <v>703</v>
      </c>
      <c r="D12" s="3">
        <v>87</v>
      </c>
      <c r="E12" s="3">
        <v>195.2</v>
      </c>
      <c r="F12" s="3">
        <v>9</v>
      </c>
      <c r="G12" s="3">
        <f t="shared" si="1"/>
        <v>291.2</v>
      </c>
      <c r="H12" s="99"/>
      <c r="I12" s="82">
        <v>2.6</v>
      </c>
      <c r="J12" s="83">
        <v>0</v>
      </c>
      <c r="K12" s="16">
        <f t="shared" si="0"/>
        <v>0.5310737308228775</v>
      </c>
    </row>
    <row r="13" spans="1:11" ht="18.75">
      <c r="A13" s="26" t="s">
        <v>104</v>
      </c>
      <c r="B13" s="38" t="s">
        <v>120</v>
      </c>
      <c r="C13" s="86">
        <v>1746</v>
      </c>
      <c r="D13" s="3">
        <v>473.2</v>
      </c>
      <c r="E13" s="3">
        <v>318.8</v>
      </c>
      <c r="F13" s="3">
        <v>3</v>
      </c>
      <c r="G13" s="3">
        <f t="shared" si="1"/>
        <v>795</v>
      </c>
      <c r="H13" s="99"/>
      <c r="I13" s="82">
        <v>2.6</v>
      </c>
      <c r="J13" s="83">
        <v>0</v>
      </c>
      <c r="K13" s="16">
        <f t="shared" si="0"/>
        <v>0.5804960372637056</v>
      </c>
    </row>
    <row r="14" spans="1:11" ht="18.75">
      <c r="A14" s="26" t="s">
        <v>105</v>
      </c>
      <c r="B14" s="38" t="s">
        <v>121</v>
      </c>
      <c r="C14" s="86">
        <v>722</v>
      </c>
      <c r="D14" s="3">
        <v>89</v>
      </c>
      <c r="E14" s="3">
        <v>326.2</v>
      </c>
      <c r="F14" s="3">
        <v>6.9</v>
      </c>
      <c r="G14" s="3">
        <f t="shared" si="1"/>
        <v>422.09999999999997</v>
      </c>
      <c r="H14" s="99"/>
      <c r="I14" s="82">
        <v>2.7</v>
      </c>
      <c r="J14" s="83">
        <v>0</v>
      </c>
      <c r="K14" s="16">
        <f t="shared" si="0"/>
        <v>0.7476626125525471</v>
      </c>
    </row>
    <row r="15" spans="1:11" ht="20.25" customHeight="1">
      <c r="A15" s="26" t="s">
        <v>106</v>
      </c>
      <c r="B15" s="38" t="s">
        <v>122</v>
      </c>
      <c r="C15" s="86">
        <v>755</v>
      </c>
      <c r="D15" s="3">
        <v>96.3</v>
      </c>
      <c r="E15" s="3">
        <v>5.2</v>
      </c>
      <c r="F15" s="3">
        <v>4</v>
      </c>
      <c r="G15" s="3">
        <f t="shared" si="1"/>
        <v>105.5</v>
      </c>
      <c r="H15" s="99"/>
      <c r="I15" s="82">
        <v>3.5</v>
      </c>
      <c r="J15" s="83">
        <v>0</v>
      </c>
      <c r="K15" s="16">
        <f t="shared" si="0"/>
        <v>0.18345852596831033</v>
      </c>
    </row>
    <row r="16" spans="1:11" ht="20.25" customHeight="1">
      <c r="A16" s="26" t="s">
        <v>107</v>
      </c>
      <c r="B16" s="38" t="s">
        <v>123</v>
      </c>
      <c r="C16" s="86">
        <v>602</v>
      </c>
      <c r="D16" s="3">
        <v>47.8</v>
      </c>
      <c r="E16" s="3">
        <v>136.4</v>
      </c>
      <c r="F16" s="3">
        <v>0</v>
      </c>
      <c r="G16" s="3">
        <f t="shared" si="1"/>
        <v>184.2</v>
      </c>
      <c r="H16" s="99"/>
      <c r="I16" s="82">
        <v>3.3</v>
      </c>
      <c r="J16" s="83">
        <v>0</v>
      </c>
      <c r="K16" s="16">
        <f t="shared" si="0"/>
        <v>0.39578846631090453</v>
      </c>
    </row>
    <row r="17" spans="1:11" ht="18.75">
      <c r="A17" s="26" t="s">
        <v>108</v>
      </c>
      <c r="B17" s="38" t="s">
        <v>124</v>
      </c>
      <c r="C17" s="86">
        <v>502</v>
      </c>
      <c r="D17" s="3">
        <v>41.7</v>
      </c>
      <c r="E17" s="3">
        <v>47.4</v>
      </c>
      <c r="F17" s="3">
        <v>0.8</v>
      </c>
      <c r="G17" s="3">
        <f t="shared" si="1"/>
        <v>89.89999999999999</v>
      </c>
      <c r="H17" s="99"/>
      <c r="I17" s="82">
        <v>3.4</v>
      </c>
      <c r="J17" s="83">
        <v>0</v>
      </c>
      <c r="K17" s="16">
        <f t="shared" si="0"/>
        <v>0.23617628124194473</v>
      </c>
    </row>
    <row r="18" spans="1:11" ht="18.75">
      <c r="A18" s="53" t="s">
        <v>109</v>
      </c>
      <c r="B18" s="54" t="s">
        <v>125</v>
      </c>
      <c r="C18" s="55">
        <f>1107+309</f>
        <v>1416</v>
      </c>
      <c r="D18" s="56">
        <f>111.9+40.3</f>
        <v>152.2</v>
      </c>
      <c r="E18" s="56">
        <f>437.8+186.4</f>
        <v>624.2</v>
      </c>
      <c r="F18" s="56">
        <f>8.5+8.2</f>
        <v>16.7</v>
      </c>
      <c r="G18" s="56">
        <f t="shared" si="1"/>
        <v>793.1000000000001</v>
      </c>
      <c r="H18" s="99"/>
      <c r="I18" s="39">
        <v>2.5</v>
      </c>
      <c r="J18" s="18">
        <v>0</v>
      </c>
      <c r="K18" s="57">
        <f t="shared" si="0"/>
        <v>0.7139862933550558</v>
      </c>
    </row>
    <row r="19" spans="1:11" ht="23.25" customHeight="1">
      <c r="A19" s="26" t="s">
        <v>110</v>
      </c>
      <c r="B19" s="38" t="s">
        <v>135</v>
      </c>
      <c r="C19" s="86">
        <v>1819</v>
      </c>
      <c r="D19" s="3">
        <v>212.6</v>
      </c>
      <c r="E19" s="3">
        <v>324.1</v>
      </c>
      <c r="F19" s="3">
        <v>5.6</v>
      </c>
      <c r="G19" s="3">
        <f t="shared" si="1"/>
        <v>542.3000000000001</v>
      </c>
      <c r="H19" s="99"/>
      <c r="I19" s="82">
        <v>4.3</v>
      </c>
      <c r="J19" s="83">
        <v>0</v>
      </c>
      <c r="K19" s="16">
        <f t="shared" si="0"/>
        <v>0.3818521865133086</v>
      </c>
    </row>
    <row r="20" spans="1:11" ht="18.75">
      <c r="A20" s="26" t="s">
        <v>111</v>
      </c>
      <c r="B20" s="38" t="s">
        <v>126</v>
      </c>
      <c r="C20" s="86">
        <v>2127</v>
      </c>
      <c r="D20" s="3">
        <v>499.6</v>
      </c>
      <c r="E20" s="3">
        <v>244.9</v>
      </c>
      <c r="F20" s="3">
        <v>12.8</v>
      </c>
      <c r="G20" s="3">
        <f t="shared" si="1"/>
        <v>757.3</v>
      </c>
      <c r="H20" s="99"/>
      <c r="I20" s="82">
        <v>3.3</v>
      </c>
      <c r="J20" s="83">
        <v>0</v>
      </c>
      <c r="K20" s="16">
        <f t="shared" si="0"/>
        <v>0.45440927227856825</v>
      </c>
    </row>
    <row r="21" spans="1:11" ht="18.75">
      <c r="A21" s="26" t="s">
        <v>112</v>
      </c>
      <c r="B21" s="38" t="s">
        <v>127</v>
      </c>
      <c r="C21" s="86">
        <v>2211</v>
      </c>
      <c r="D21" s="3">
        <v>386.8</v>
      </c>
      <c r="E21" s="3">
        <v>180.6</v>
      </c>
      <c r="F21" s="3">
        <v>9.7</v>
      </c>
      <c r="G21" s="3">
        <f t="shared" si="1"/>
        <v>577.1</v>
      </c>
      <c r="H21" s="99"/>
      <c r="I21" s="82">
        <v>4.2</v>
      </c>
      <c r="J21" s="83">
        <v>0</v>
      </c>
      <c r="K21" s="16">
        <f t="shared" si="0"/>
        <v>0.33409496746775297</v>
      </c>
    </row>
    <row r="22" spans="1:11" ht="18.75">
      <c r="A22" s="26" t="s">
        <v>113</v>
      </c>
      <c r="B22" s="38" t="s">
        <v>128</v>
      </c>
      <c r="C22" s="86">
        <v>754</v>
      </c>
      <c r="D22" s="3">
        <v>110.8</v>
      </c>
      <c r="E22" s="3">
        <v>49.7</v>
      </c>
      <c r="F22" s="3">
        <v>1.3</v>
      </c>
      <c r="G22" s="3">
        <f t="shared" si="1"/>
        <v>161.8</v>
      </c>
      <c r="H22" s="99"/>
      <c r="I22" s="82">
        <v>3.2</v>
      </c>
      <c r="J22" s="83">
        <v>0</v>
      </c>
      <c r="K22" s="16">
        <f t="shared" si="0"/>
        <v>0.27808076646268537</v>
      </c>
    </row>
    <row r="23" spans="1:11" ht="18.75">
      <c r="A23" s="26" t="s">
        <v>114</v>
      </c>
      <c r="B23" s="38" t="s">
        <v>129</v>
      </c>
      <c r="C23" s="86">
        <v>1027</v>
      </c>
      <c r="D23" s="3">
        <v>143.3</v>
      </c>
      <c r="E23" s="3">
        <v>211</v>
      </c>
      <c r="F23" s="3">
        <v>7.3</v>
      </c>
      <c r="G23" s="3">
        <f>D23+E23+F23</f>
        <v>361.6</v>
      </c>
      <c r="H23" s="99"/>
      <c r="I23" s="82">
        <v>3.9</v>
      </c>
      <c r="J23" s="83">
        <v>0</v>
      </c>
      <c r="K23" s="16">
        <f t="shared" si="0"/>
        <v>0.45224657984215316</v>
      </c>
    </row>
    <row r="24" spans="1:11" ht="18.75">
      <c r="A24" s="26" t="s">
        <v>133</v>
      </c>
      <c r="B24" s="40" t="s">
        <v>130</v>
      </c>
      <c r="C24" s="86">
        <v>19359</v>
      </c>
      <c r="D24" s="3">
        <v>18666.7</v>
      </c>
      <c r="E24" s="3">
        <v>1207.1</v>
      </c>
      <c r="F24" s="3">
        <v>142.4</v>
      </c>
      <c r="G24" s="3">
        <f>D24+E24+F24</f>
        <v>20016.2</v>
      </c>
      <c r="H24" s="99"/>
      <c r="I24" s="82">
        <v>0</v>
      </c>
      <c r="J24" s="83">
        <v>0</v>
      </c>
      <c r="K24" s="16">
        <f t="shared" si="0"/>
        <v>1.3138841253707019</v>
      </c>
    </row>
    <row r="25" spans="1:11" ht="22.5" customHeight="1">
      <c r="A25" s="26" t="s">
        <v>134</v>
      </c>
      <c r="B25" s="38" t="s">
        <v>131</v>
      </c>
      <c r="C25" s="86">
        <v>3912</v>
      </c>
      <c r="D25" s="3">
        <v>4457.1</v>
      </c>
      <c r="E25" s="3">
        <v>1660.7</v>
      </c>
      <c r="F25" s="3">
        <v>23.2</v>
      </c>
      <c r="G25" s="3">
        <f t="shared" si="1"/>
        <v>6141</v>
      </c>
      <c r="H25" s="100"/>
      <c r="I25" s="82">
        <v>0</v>
      </c>
      <c r="J25" s="83">
        <v>0</v>
      </c>
      <c r="K25" s="16">
        <f t="shared" si="0"/>
        <v>1.994796532941226</v>
      </c>
    </row>
    <row r="26" spans="1:11" ht="18.75">
      <c r="A26" s="97" t="s">
        <v>2</v>
      </c>
      <c r="B26" s="88"/>
      <c r="C26" s="87">
        <f aca="true" t="shared" si="2" ref="C26:J26">SUM(C9:C25)</f>
        <v>41432</v>
      </c>
      <c r="D26" s="4">
        <f t="shared" si="2"/>
        <v>25989.700000000004</v>
      </c>
      <c r="E26" s="4">
        <f t="shared" si="2"/>
        <v>6298.599999999999</v>
      </c>
      <c r="F26" s="4">
        <f t="shared" si="2"/>
        <v>267</v>
      </c>
      <c r="G26" s="4">
        <f t="shared" si="2"/>
        <v>32555.300000000003</v>
      </c>
      <c r="H26" s="85">
        <f t="shared" si="2"/>
        <v>36363</v>
      </c>
      <c r="I26" s="84">
        <f t="shared" si="2"/>
        <v>49.199999999999996</v>
      </c>
      <c r="J26" s="85">
        <f t="shared" si="2"/>
        <v>0</v>
      </c>
      <c r="K26" s="22">
        <f>((G26+H26-I26)/C26)/(($G$26+$H$26)/$C$26)</f>
        <v>0.9992861112360578</v>
      </c>
    </row>
    <row r="29" ht="18.75">
      <c r="H29" s="36"/>
    </row>
    <row r="32" spans="1:11" s="2" customFormat="1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12">
    <mergeCell ref="A3:B3"/>
    <mergeCell ref="C5:C6"/>
    <mergeCell ref="H5:H6"/>
    <mergeCell ref="A26:B26"/>
    <mergeCell ref="B5:B7"/>
    <mergeCell ref="A5:A7"/>
    <mergeCell ref="H9:H25"/>
    <mergeCell ref="K5:K6"/>
    <mergeCell ref="D5:F5"/>
    <mergeCell ref="G5:G6"/>
    <mergeCell ref="I5:I6"/>
    <mergeCell ref="J5:J6"/>
  </mergeCells>
  <printOptions/>
  <pageMargins left="0.35" right="0.54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H16" sqref="H16"/>
    </sheetView>
  </sheetViews>
  <sheetFormatPr defaultColWidth="9.140625" defaultRowHeight="12.75"/>
  <cols>
    <col min="1" max="1" width="7.421875" style="1" customWidth="1"/>
    <col min="2" max="2" width="32.140625" style="1" customWidth="1"/>
    <col min="3" max="3" width="17.421875" style="1" customWidth="1"/>
    <col min="4" max="4" width="11.7109375" style="1" customWidth="1"/>
    <col min="5" max="5" width="16.421875" style="1" customWidth="1"/>
    <col min="6" max="6" width="12.28125" style="1" customWidth="1"/>
    <col min="7" max="7" width="10.421875" style="1" customWidth="1"/>
    <col min="8" max="8" width="10.00390625" style="1" customWidth="1"/>
    <col min="9" max="9" width="13.57421875" style="1" customWidth="1"/>
    <col min="10" max="10" width="15.140625" style="1" customWidth="1"/>
    <col min="11" max="11" width="14.00390625" style="1" customWidth="1"/>
    <col min="12" max="12" width="14.421875" style="1" customWidth="1"/>
    <col min="13" max="13" width="14.00390625" style="1" customWidth="1"/>
    <col min="14" max="14" width="12.421875" style="1" customWidth="1"/>
    <col min="15" max="15" width="13.8515625" style="1" customWidth="1"/>
    <col min="16" max="16" width="12.57421875" style="1" customWidth="1"/>
    <col min="17" max="17" width="14.140625" style="1" customWidth="1"/>
    <col min="18" max="18" width="14.421875" style="1" customWidth="1"/>
    <col min="19" max="19" width="13.28125" style="1" customWidth="1"/>
    <col min="20" max="20" width="14.421875" style="1" customWidth="1"/>
    <col min="21" max="21" width="16.140625" style="1" customWidth="1"/>
    <col min="22" max="22" width="14.7109375" style="1" customWidth="1"/>
    <col min="23" max="23" width="15.57421875" style="1" customWidth="1"/>
    <col min="24" max="24" width="12.8515625" style="1" customWidth="1"/>
    <col min="25" max="25" width="13.8515625" style="1" customWidth="1"/>
    <col min="26" max="26" width="14.57421875" style="1" customWidth="1"/>
    <col min="27" max="27" width="15.00390625" style="1" customWidth="1"/>
    <col min="28" max="28" width="12.421875" style="1" customWidth="1"/>
    <col min="29" max="29" width="14.28125" style="1" customWidth="1"/>
    <col min="30" max="30" width="14.00390625" style="1" customWidth="1"/>
    <col min="31" max="31" width="14.57421875" style="1" customWidth="1"/>
    <col min="32" max="32" width="13.8515625" style="1" customWidth="1"/>
    <col min="33" max="33" width="14.421875" style="1" customWidth="1"/>
    <col min="34" max="16384" width="9.140625" style="1" customWidth="1"/>
  </cols>
  <sheetData>
    <row r="1" spans="1:3" s="2" customFormat="1" ht="18.75">
      <c r="A1" s="8"/>
      <c r="B1" s="8"/>
      <c r="C1" s="8" t="s">
        <v>19</v>
      </c>
    </row>
    <row r="2" s="2" customFormat="1" ht="18.75"/>
    <row r="3" spans="1:5" s="2" customFormat="1" ht="18.75">
      <c r="A3" s="95"/>
      <c r="B3" s="95"/>
      <c r="C3" s="95" t="s">
        <v>1</v>
      </c>
      <c r="D3" s="95"/>
      <c r="E3" s="2" t="s">
        <v>115</v>
      </c>
    </row>
    <row r="4" s="2" customFormat="1" ht="18.75"/>
    <row r="5" spans="1:33" s="9" customFormat="1" ht="36" customHeight="1">
      <c r="A5" s="91" t="s">
        <v>3</v>
      </c>
      <c r="B5" s="91" t="s">
        <v>0</v>
      </c>
      <c r="C5" s="91" t="s">
        <v>6</v>
      </c>
      <c r="D5" s="90" t="s">
        <v>62</v>
      </c>
      <c r="E5" s="90"/>
      <c r="F5" s="101" t="s">
        <v>20</v>
      </c>
      <c r="G5" s="102"/>
      <c r="H5" s="103"/>
      <c r="I5" s="105" t="s">
        <v>33</v>
      </c>
      <c r="J5" s="106"/>
      <c r="K5" s="106"/>
      <c r="L5" s="106"/>
      <c r="M5" s="106"/>
      <c r="N5" s="107"/>
      <c r="O5" s="105" t="s">
        <v>40</v>
      </c>
      <c r="P5" s="106"/>
      <c r="Q5" s="106"/>
      <c r="R5" s="106"/>
      <c r="S5" s="106"/>
      <c r="T5" s="107"/>
      <c r="U5" s="105" t="s">
        <v>142</v>
      </c>
      <c r="V5" s="106"/>
      <c r="W5" s="106"/>
      <c r="X5" s="106"/>
      <c r="Y5" s="106"/>
      <c r="Z5" s="107"/>
      <c r="AA5" s="105" t="s">
        <v>53</v>
      </c>
      <c r="AB5" s="106"/>
      <c r="AC5" s="106"/>
      <c r="AD5" s="106"/>
      <c r="AE5" s="106"/>
      <c r="AF5" s="107"/>
      <c r="AG5" s="91" t="s">
        <v>60</v>
      </c>
    </row>
    <row r="6" spans="1:33" s="12" customFormat="1" ht="109.5" customHeight="1">
      <c r="A6" s="89"/>
      <c r="B6" s="89"/>
      <c r="C6" s="92"/>
      <c r="D6" s="6" t="s">
        <v>63</v>
      </c>
      <c r="E6" s="6" t="s">
        <v>64</v>
      </c>
      <c r="F6" s="5" t="s">
        <v>22</v>
      </c>
      <c r="G6" s="5" t="s">
        <v>21</v>
      </c>
      <c r="H6" s="5" t="s">
        <v>23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27</v>
      </c>
      <c r="P6" s="5" t="s">
        <v>28</v>
      </c>
      <c r="Q6" s="5" t="s">
        <v>29</v>
      </c>
      <c r="R6" s="5" t="s">
        <v>30</v>
      </c>
      <c r="S6" s="5" t="s">
        <v>31</v>
      </c>
      <c r="T6" s="5" t="s">
        <v>32</v>
      </c>
      <c r="U6" s="5" t="s">
        <v>27</v>
      </c>
      <c r="V6" s="5" t="s">
        <v>28</v>
      </c>
      <c r="W6" s="5" t="s">
        <v>29</v>
      </c>
      <c r="X6" s="5" t="s">
        <v>30</v>
      </c>
      <c r="Y6" s="5" t="s">
        <v>31</v>
      </c>
      <c r="Z6" s="5" t="s">
        <v>32</v>
      </c>
      <c r="AA6" s="5" t="s">
        <v>27</v>
      </c>
      <c r="AB6" s="5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92"/>
    </row>
    <row r="7" spans="1:33" s="13" customFormat="1" ht="27.75" customHeight="1">
      <c r="A7" s="92"/>
      <c r="B7" s="92"/>
      <c r="C7" s="7" t="s">
        <v>67</v>
      </c>
      <c r="D7" s="7"/>
      <c r="E7" s="7"/>
      <c r="F7" s="7" t="s">
        <v>24</v>
      </c>
      <c r="G7" s="7" t="s">
        <v>25</v>
      </c>
      <c r="H7" s="7" t="s">
        <v>26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38</v>
      </c>
      <c r="N7" s="7" t="s">
        <v>39</v>
      </c>
      <c r="O7" s="7" t="s">
        <v>41</v>
      </c>
      <c r="P7" s="7" t="s">
        <v>42</v>
      </c>
      <c r="Q7" s="7" t="s">
        <v>43</v>
      </c>
      <c r="R7" s="7" t="s">
        <v>44</v>
      </c>
      <c r="S7" s="7" t="s">
        <v>45</v>
      </c>
      <c r="T7" s="7" t="s">
        <v>46</v>
      </c>
      <c r="U7" s="7" t="s">
        <v>47</v>
      </c>
      <c r="V7" s="7" t="s">
        <v>48</v>
      </c>
      <c r="W7" s="7" t="s">
        <v>49</v>
      </c>
      <c r="X7" s="7" t="s">
        <v>50</v>
      </c>
      <c r="Y7" s="7" t="s">
        <v>51</v>
      </c>
      <c r="Z7" s="7" t="s">
        <v>52</v>
      </c>
      <c r="AA7" s="7" t="s">
        <v>54</v>
      </c>
      <c r="AB7" s="7" t="s">
        <v>55</v>
      </c>
      <c r="AC7" s="7" t="s">
        <v>56</v>
      </c>
      <c r="AD7" s="7" t="s">
        <v>57</v>
      </c>
      <c r="AE7" s="7" t="s">
        <v>58</v>
      </c>
      <c r="AF7" s="7" t="s">
        <v>59</v>
      </c>
      <c r="AG7" s="7" t="s">
        <v>61</v>
      </c>
    </row>
    <row r="8" spans="1:33" s="13" customFormat="1" ht="97.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 t="s">
        <v>96</v>
      </c>
      <c r="G8" s="32" t="s">
        <v>75</v>
      </c>
      <c r="H8" s="32" t="s">
        <v>76</v>
      </c>
      <c r="I8" s="32" t="s">
        <v>77</v>
      </c>
      <c r="J8" s="32" t="s">
        <v>78</v>
      </c>
      <c r="K8" s="32" t="s">
        <v>79</v>
      </c>
      <c r="L8" s="32" t="s">
        <v>80</v>
      </c>
      <c r="M8" s="32" t="s">
        <v>81</v>
      </c>
      <c r="N8" s="32" t="s">
        <v>82</v>
      </c>
      <c r="O8" s="32" t="s">
        <v>83</v>
      </c>
      <c r="P8" s="32" t="s">
        <v>84</v>
      </c>
      <c r="Q8" s="32" t="s">
        <v>85</v>
      </c>
      <c r="R8" s="32" t="s">
        <v>86</v>
      </c>
      <c r="S8" s="32" t="s">
        <v>87</v>
      </c>
      <c r="T8" s="32" t="s">
        <v>88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 t="s">
        <v>89</v>
      </c>
      <c r="AB8" s="32" t="s">
        <v>90</v>
      </c>
      <c r="AC8" s="32" t="s">
        <v>91</v>
      </c>
      <c r="AD8" s="32" t="s">
        <v>92</v>
      </c>
      <c r="AE8" s="32" t="s">
        <v>93</v>
      </c>
      <c r="AF8" s="32" t="s">
        <v>94</v>
      </c>
      <c r="AG8" s="32" t="s">
        <v>95</v>
      </c>
    </row>
    <row r="9" spans="1:35" s="14" customFormat="1" ht="22.5" customHeight="1">
      <c r="A9" s="26" t="s">
        <v>100</v>
      </c>
      <c r="B9" s="21" t="str">
        <f>ИНП!B9</f>
        <v>СП Алтайское </v>
      </c>
      <c r="C9" s="10">
        <f>ИНП!C9</f>
        <v>848</v>
      </c>
      <c r="D9" s="19">
        <v>0</v>
      </c>
      <c r="E9" s="19">
        <v>0</v>
      </c>
      <c r="F9" s="3">
        <f aca="true" t="shared" si="0" ref="F9:F25">(0.4*C9+0.6*(AVERAGE($C$9:$C$25)))/C9</f>
        <v>2.1244173140954494</v>
      </c>
      <c r="G9" s="3">
        <f>1+E9/C9</f>
        <v>1</v>
      </c>
      <c r="H9" s="3">
        <f>(D9/C9+1)</f>
        <v>1</v>
      </c>
      <c r="I9" s="10">
        <f>C9*F9</f>
        <v>1801.5058823529412</v>
      </c>
      <c r="J9" s="10">
        <f>C9*H9</f>
        <v>848</v>
      </c>
      <c r="K9" s="10">
        <f>C9*F9</f>
        <v>1801.5058823529412</v>
      </c>
      <c r="L9" s="10">
        <f>C9*F9</f>
        <v>1801.5058823529412</v>
      </c>
      <c r="M9" s="10">
        <f>C9*F9</f>
        <v>1801.5058823529412</v>
      </c>
      <c r="N9" s="10">
        <f>C9*G9</f>
        <v>848</v>
      </c>
      <c r="O9" s="3">
        <f aca="true" t="shared" si="1" ref="O9:O25">(I9/$C9)/($I$26/$C$26)</f>
        <v>2.1244173140954494</v>
      </c>
      <c r="P9" s="3">
        <f aca="true" t="shared" si="2" ref="P9:P25">(J9/$C9)/($J$26/$C$26)</f>
        <v>0.6403412515648425</v>
      </c>
      <c r="Q9" s="3">
        <f aca="true" t="shared" si="3" ref="Q9:Q25">(K9/$C9)/($K$26/$C$26)</f>
        <v>2.1244173140954494</v>
      </c>
      <c r="R9" s="3">
        <f aca="true" t="shared" si="4" ref="R9:R25">(L9/$C9)/($L$26/$C$26)</f>
        <v>2.1244173140954494</v>
      </c>
      <c r="S9" s="3">
        <f aca="true" t="shared" si="5" ref="S9:S25">(M9/$C9)/($M$26/$C$26)</f>
        <v>2.1244173140954494</v>
      </c>
      <c r="T9" s="3">
        <f aca="true" t="shared" si="6" ref="T9:T25">(N9/$C9)/($N$26/$C$26)</f>
        <v>0.8788020192593221</v>
      </c>
      <c r="U9" s="111">
        <v>41669.6</v>
      </c>
      <c r="V9" s="111">
        <v>8931.1</v>
      </c>
      <c r="W9" s="111">
        <v>4056.6</v>
      </c>
      <c r="X9" s="111">
        <v>11825.8</v>
      </c>
      <c r="Y9" s="111">
        <v>289.8</v>
      </c>
      <c r="Z9" s="111">
        <v>42242.7</v>
      </c>
      <c r="AA9" s="108">
        <f aca="true" t="shared" si="7" ref="AA9:AF9">U9/($U$9+$V$9+$W$9+$X$9+$Y$9+$Z$9)</f>
        <v>0.38223520303516195</v>
      </c>
      <c r="AB9" s="108">
        <f t="shared" si="7"/>
        <v>0.08192497220581275</v>
      </c>
      <c r="AC9" s="108">
        <f t="shared" si="7"/>
        <v>0.03721118812353461</v>
      </c>
      <c r="AD9" s="108">
        <f t="shared" si="7"/>
        <v>0.1084780526823684</v>
      </c>
      <c r="AE9" s="108">
        <f t="shared" si="7"/>
        <v>0.0026583351373564885</v>
      </c>
      <c r="AF9" s="108">
        <f t="shared" si="7"/>
        <v>0.3874922488157658</v>
      </c>
      <c r="AG9" s="16">
        <f>$AA$9*O9+$AB$9*P9+$AC$9*Q9+$AD$9*R9+$AE$9*S9+$AF$9*T9</f>
        <v>1.5201681521659531</v>
      </c>
      <c r="AI9" s="28"/>
    </row>
    <row r="10" spans="1:35" ht="18.75">
      <c r="A10" s="26" t="s">
        <v>101</v>
      </c>
      <c r="B10" s="21" t="str">
        <f>ИНП!B10</f>
        <v>СП Большекударинское </v>
      </c>
      <c r="C10" s="10">
        <f>ИНП!C10</f>
        <v>1891</v>
      </c>
      <c r="D10" s="19">
        <v>0</v>
      </c>
      <c r="E10" s="19">
        <v>1000</v>
      </c>
      <c r="F10" s="3">
        <f t="shared" si="0"/>
        <v>1.1732976638566586</v>
      </c>
      <c r="G10" s="3">
        <f aca="true" t="shared" si="8" ref="G10:G25">1+E10/C10</f>
        <v>1.528820729772607</v>
      </c>
      <c r="H10" s="3">
        <f aca="true" t="shared" si="9" ref="H10:H25">(D10/C10+1)</f>
        <v>1</v>
      </c>
      <c r="I10" s="10">
        <f aca="true" t="shared" si="10" ref="I10:I25">C10*F10</f>
        <v>2218.7058823529414</v>
      </c>
      <c r="J10" s="10">
        <f aca="true" t="shared" si="11" ref="J10:J25">C10*H10</f>
        <v>1891</v>
      </c>
      <c r="K10" s="10">
        <f aca="true" t="shared" si="12" ref="K10:K25">C10*F10</f>
        <v>2218.7058823529414</v>
      </c>
      <c r="L10" s="10">
        <f aca="true" t="shared" si="13" ref="L10:L25">C10*F10</f>
        <v>2218.7058823529414</v>
      </c>
      <c r="M10" s="10">
        <f aca="true" t="shared" si="14" ref="M10:M25">C10*F10</f>
        <v>2218.7058823529414</v>
      </c>
      <c r="N10" s="10">
        <f aca="true" t="shared" si="15" ref="N10:N25">C10*G10</f>
        <v>2891</v>
      </c>
      <c r="O10" s="3">
        <f t="shared" si="1"/>
        <v>1.1732976638566586</v>
      </c>
      <c r="P10" s="3">
        <f t="shared" si="2"/>
        <v>0.6403412515648425</v>
      </c>
      <c r="Q10" s="3">
        <f t="shared" si="3"/>
        <v>1.1732976638566586</v>
      </c>
      <c r="R10" s="3">
        <f t="shared" si="4"/>
        <v>1.1732976638566586</v>
      </c>
      <c r="S10" s="3">
        <f t="shared" si="5"/>
        <v>1.1732976638566586</v>
      </c>
      <c r="T10" s="3">
        <f t="shared" si="6"/>
        <v>1.3435307444096776</v>
      </c>
      <c r="U10" s="110"/>
      <c r="V10" s="110"/>
      <c r="W10" s="110"/>
      <c r="X10" s="110"/>
      <c r="Y10" s="110"/>
      <c r="Z10" s="110"/>
      <c r="AA10" s="110"/>
      <c r="AB10" s="109"/>
      <c r="AC10" s="110"/>
      <c r="AD10" s="110"/>
      <c r="AE10" s="110"/>
      <c r="AF10" s="110"/>
      <c r="AG10" s="16">
        <f aca="true" t="shared" si="16" ref="AG10:AG25">$AA$9*O10+$AB$9*P10+$AC$9*Q10+$AD$9*R10+$AE$9*S10+$AF$9*T10</f>
        <v>1.195599223799067</v>
      </c>
      <c r="AI10" s="28"/>
    </row>
    <row r="11" spans="1:35" ht="18.75">
      <c r="A11" s="26" t="s">
        <v>102</v>
      </c>
      <c r="B11" s="21" t="str">
        <f>ИНП!B11</f>
        <v>СП Большелугское </v>
      </c>
      <c r="C11" s="10">
        <f>ИНП!C11</f>
        <v>1038</v>
      </c>
      <c r="D11" s="19">
        <v>0</v>
      </c>
      <c r="E11" s="19">
        <f>23+324</f>
        <v>347</v>
      </c>
      <c r="F11" s="3">
        <f t="shared" si="0"/>
        <v>1.808772526351581</v>
      </c>
      <c r="G11" s="3">
        <f t="shared" si="8"/>
        <v>1.334296724470135</v>
      </c>
      <c r="H11" s="3">
        <f t="shared" si="9"/>
        <v>1</v>
      </c>
      <c r="I11" s="10">
        <f t="shared" si="10"/>
        <v>1877.5058823529412</v>
      </c>
      <c r="J11" s="10">
        <f t="shared" si="11"/>
        <v>1038</v>
      </c>
      <c r="K11" s="10">
        <f t="shared" si="12"/>
        <v>1877.5058823529412</v>
      </c>
      <c r="L11" s="10">
        <f t="shared" si="13"/>
        <v>1877.5058823529412</v>
      </c>
      <c r="M11" s="10">
        <f t="shared" si="14"/>
        <v>1877.5058823529412</v>
      </c>
      <c r="N11" s="10">
        <f t="shared" si="15"/>
        <v>1385</v>
      </c>
      <c r="O11" s="3">
        <f t="shared" si="1"/>
        <v>1.808772526351581</v>
      </c>
      <c r="P11" s="3">
        <f t="shared" si="2"/>
        <v>0.6403412515648425</v>
      </c>
      <c r="Q11" s="3">
        <f t="shared" si="3"/>
        <v>1.808772526351581</v>
      </c>
      <c r="R11" s="3">
        <f t="shared" si="4"/>
        <v>1.808772526351581</v>
      </c>
      <c r="S11" s="3">
        <f t="shared" si="5"/>
        <v>1.808772526351581</v>
      </c>
      <c r="T11" s="3">
        <f t="shared" si="6"/>
        <v>1.172582655755454</v>
      </c>
      <c r="U11" s="110"/>
      <c r="V11" s="110"/>
      <c r="W11" s="110"/>
      <c r="X11" s="110"/>
      <c r="Y11" s="110"/>
      <c r="Z11" s="110"/>
      <c r="AA11" s="110"/>
      <c r="AB11" s="109"/>
      <c r="AC11" s="110"/>
      <c r="AD11" s="110"/>
      <c r="AE11" s="110"/>
      <c r="AF11" s="110"/>
      <c r="AG11" s="16">
        <f t="shared" si="16"/>
        <v>1.466530183009171</v>
      </c>
      <c r="AI11" s="28"/>
    </row>
    <row r="12" spans="1:35" ht="18.75">
      <c r="A12" s="26" t="s">
        <v>103</v>
      </c>
      <c r="B12" s="21" t="str">
        <f>ИНП!B12</f>
        <v>СП Зарянское </v>
      </c>
      <c r="C12" s="10">
        <f>ИНП!C12</f>
        <v>703</v>
      </c>
      <c r="D12" s="19">
        <v>0</v>
      </c>
      <c r="E12" s="19">
        <v>198</v>
      </c>
      <c r="F12" s="3">
        <f t="shared" si="0"/>
        <v>2.480093716007029</v>
      </c>
      <c r="G12" s="3">
        <f t="shared" si="8"/>
        <v>1.2816500711237553</v>
      </c>
      <c r="H12" s="3">
        <f t="shared" si="9"/>
        <v>1</v>
      </c>
      <c r="I12" s="10">
        <f t="shared" si="10"/>
        <v>1743.5058823529414</v>
      </c>
      <c r="J12" s="10">
        <f t="shared" si="11"/>
        <v>703</v>
      </c>
      <c r="K12" s="10">
        <f t="shared" si="12"/>
        <v>1743.5058823529414</v>
      </c>
      <c r="L12" s="10">
        <f t="shared" si="13"/>
        <v>1743.5058823529414</v>
      </c>
      <c r="M12" s="10">
        <f t="shared" si="14"/>
        <v>1743.5058823529414</v>
      </c>
      <c r="N12" s="10">
        <f t="shared" si="15"/>
        <v>901</v>
      </c>
      <c r="O12" s="3">
        <f t="shared" si="1"/>
        <v>2.480093716007029</v>
      </c>
      <c r="P12" s="3">
        <f t="shared" si="2"/>
        <v>0.6403412515648425</v>
      </c>
      <c r="Q12" s="3">
        <f t="shared" si="3"/>
        <v>2.480093716007029</v>
      </c>
      <c r="R12" s="3">
        <f t="shared" si="4"/>
        <v>2.480093716007029</v>
      </c>
      <c r="S12" s="3">
        <f t="shared" si="5"/>
        <v>2.480093716007029</v>
      </c>
      <c r="T12" s="3">
        <f t="shared" si="6"/>
        <v>1.12631667048741</v>
      </c>
      <c r="U12" s="110"/>
      <c r="V12" s="110"/>
      <c r="W12" s="110"/>
      <c r="X12" s="110"/>
      <c r="Y12" s="110"/>
      <c r="Z12" s="110"/>
      <c r="AA12" s="110"/>
      <c r="AB12" s="109"/>
      <c r="AC12" s="110"/>
      <c r="AD12" s="110"/>
      <c r="AE12" s="110"/>
      <c r="AF12" s="110"/>
      <c r="AG12" s="16">
        <f t="shared" si="16"/>
        <v>1.8047939347284667</v>
      </c>
      <c r="AI12" s="28"/>
    </row>
    <row r="13" spans="1:35" ht="18.75">
      <c r="A13" s="26" t="s">
        <v>104</v>
      </c>
      <c r="B13" s="21" t="str">
        <f>ИНП!B13</f>
        <v>СП Кударинское </v>
      </c>
      <c r="C13" s="10">
        <f>ИНП!C13</f>
        <v>1746</v>
      </c>
      <c r="D13" s="19">
        <v>0</v>
      </c>
      <c r="E13" s="19">
        <v>232</v>
      </c>
      <c r="F13" s="3">
        <f t="shared" si="0"/>
        <v>1.2375176874873661</v>
      </c>
      <c r="G13" s="3">
        <f t="shared" si="8"/>
        <v>1.1328751431844215</v>
      </c>
      <c r="H13" s="3">
        <f t="shared" si="9"/>
        <v>1</v>
      </c>
      <c r="I13" s="10">
        <f t="shared" si="10"/>
        <v>2160.7058823529414</v>
      </c>
      <c r="J13" s="10">
        <f t="shared" si="11"/>
        <v>1746</v>
      </c>
      <c r="K13" s="10">
        <f t="shared" si="12"/>
        <v>2160.7058823529414</v>
      </c>
      <c r="L13" s="10">
        <f t="shared" si="13"/>
        <v>2160.7058823529414</v>
      </c>
      <c r="M13" s="10">
        <f t="shared" si="14"/>
        <v>2160.7058823529414</v>
      </c>
      <c r="N13" s="10">
        <f t="shared" si="15"/>
        <v>1978</v>
      </c>
      <c r="O13" s="3">
        <f t="shared" si="1"/>
        <v>1.2375176874873661</v>
      </c>
      <c r="P13" s="3">
        <f t="shared" si="2"/>
        <v>0.6403412515648425</v>
      </c>
      <c r="Q13" s="3">
        <f t="shared" si="3"/>
        <v>1.2375176874873661</v>
      </c>
      <c r="R13" s="3">
        <f t="shared" si="4"/>
        <v>1.2375176874873661</v>
      </c>
      <c r="S13" s="3">
        <f t="shared" si="5"/>
        <v>1.2375176874873661</v>
      </c>
      <c r="T13" s="3">
        <f t="shared" si="6"/>
        <v>0.9955729633991633</v>
      </c>
      <c r="U13" s="110"/>
      <c r="V13" s="110"/>
      <c r="W13" s="110"/>
      <c r="X13" s="110"/>
      <c r="Y13" s="110"/>
      <c r="Z13" s="110"/>
      <c r="AA13" s="110"/>
      <c r="AB13" s="109"/>
      <c r="AC13" s="110"/>
      <c r="AD13" s="110"/>
      <c r="AE13" s="110"/>
      <c r="AF13" s="110"/>
      <c r="AG13" s="16">
        <f t="shared" si="16"/>
        <v>1.0948423193463994</v>
      </c>
      <c r="AI13" s="28"/>
    </row>
    <row r="14" spans="1:35" ht="18.75">
      <c r="A14" s="26" t="s">
        <v>105</v>
      </c>
      <c r="B14" s="21" t="str">
        <f>ИНП!B14</f>
        <v>СП Малокударинское </v>
      </c>
      <c r="C14" s="10">
        <f>ИНП!C14</f>
        <v>722</v>
      </c>
      <c r="D14" s="19">
        <v>0</v>
      </c>
      <c r="E14" s="19">
        <v>722</v>
      </c>
      <c r="F14" s="3">
        <f t="shared" si="0"/>
        <v>2.4253544076910543</v>
      </c>
      <c r="G14" s="3">
        <f t="shared" si="8"/>
        <v>2</v>
      </c>
      <c r="H14" s="3">
        <f t="shared" si="9"/>
        <v>1</v>
      </c>
      <c r="I14" s="10">
        <f t="shared" si="10"/>
        <v>1751.105882352941</v>
      </c>
      <c r="J14" s="10">
        <f t="shared" si="11"/>
        <v>722</v>
      </c>
      <c r="K14" s="10">
        <f t="shared" si="12"/>
        <v>1751.105882352941</v>
      </c>
      <c r="L14" s="10">
        <f t="shared" si="13"/>
        <v>1751.105882352941</v>
      </c>
      <c r="M14" s="10">
        <f t="shared" si="14"/>
        <v>1751.105882352941</v>
      </c>
      <c r="N14" s="10">
        <f t="shared" si="15"/>
        <v>1444</v>
      </c>
      <c r="O14" s="3">
        <f t="shared" si="1"/>
        <v>2.4253544076910543</v>
      </c>
      <c r="P14" s="3">
        <f t="shared" si="2"/>
        <v>0.6403412515648425</v>
      </c>
      <c r="Q14" s="3">
        <f t="shared" si="3"/>
        <v>2.4253544076910543</v>
      </c>
      <c r="R14" s="3">
        <f t="shared" si="4"/>
        <v>2.4253544076910543</v>
      </c>
      <c r="S14" s="3">
        <f t="shared" si="5"/>
        <v>2.4253544076910543</v>
      </c>
      <c r="T14" s="3">
        <f t="shared" si="6"/>
        <v>1.7576040385186442</v>
      </c>
      <c r="U14" s="110"/>
      <c r="V14" s="110"/>
      <c r="W14" s="110"/>
      <c r="X14" s="110"/>
      <c r="Y14" s="110"/>
      <c r="Z14" s="110"/>
      <c r="AA14" s="110"/>
      <c r="AB14" s="109"/>
      <c r="AC14" s="110"/>
      <c r="AD14" s="110"/>
      <c r="AE14" s="110"/>
      <c r="AF14" s="110"/>
      <c r="AG14" s="16">
        <f t="shared" si="16"/>
        <v>2.0203691622902293</v>
      </c>
      <c r="AI14" s="28"/>
    </row>
    <row r="15" spans="1:35" ht="20.25" customHeight="1">
      <c r="A15" s="26" t="s">
        <v>106</v>
      </c>
      <c r="B15" s="21" t="str">
        <f>ИНП!B15</f>
        <v>СП Мурочинское </v>
      </c>
      <c r="C15" s="10">
        <f>ИНП!C15</f>
        <v>755</v>
      </c>
      <c r="D15" s="19">
        <v>0</v>
      </c>
      <c r="E15" s="19">
        <v>222</v>
      </c>
      <c r="F15" s="3">
        <f t="shared" si="0"/>
        <v>2.3368289832489286</v>
      </c>
      <c r="G15" s="3">
        <f t="shared" si="8"/>
        <v>1.2940397350993378</v>
      </c>
      <c r="H15" s="3">
        <f t="shared" si="9"/>
        <v>1</v>
      </c>
      <c r="I15" s="10">
        <f t="shared" si="10"/>
        <v>1764.3058823529411</v>
      </c>
      <c r="J15" s="10">
        <f t="shared" si="11"/>
        <v>755</v>
      </c>
      <c r="K15" s="10">
        <f t="shared" si="12"/>
        <v>1764.3058823529411</v>
      </c>
      <c r="L15" s="10">
        <f t="shared" si="13"/>
        <v>1764.3058823529411</v>
      </c>
      <c r="M15" s="10">
        <f t="shared" si="14"/>
        <v>1764.3058823529411</v>
      </c>
      <c r="N15" s="10">
        <f t="shared" si="15"/>
        <v>977</v>
      </c>
      <c r="O15" s="3">
        <f t="shared" si="1"/>
        <v>2.3368289832489286</v>
      </c>
      <c r="P15" s="3">
        <f t="shared" si="2"/>
        <v>0.6403412515648425</v>
      </c>
      <c r="Q15" s="3">
        <f t="shared" si="3"/>
        <v>2.3368289832489286</v>
      </c>
      <c r="R15" s="3">
        <f t="shared" si="4"/>
        <v>2.3368289832489286</v>
      </c>
      <c r="S15" s="3">
        <f t="shared" si="5"/>
        <v>2.3368289832489286</v>
      </c>
      <c r="T15" s="3">
        <f t="shared" si="6"/>
        <v>1.1372047322070964</v>
      </c>
      <c r="U15" s="110"/>
      <c r="V15" s="110"/>
      <c r="W15" s="110"/>
      <c r="X15" s="110"/>
      <c r="Y15" s="110"/>
      <c r="Z15" s="110"/>
      <c r="AA15" s="110"/>
      <c r="AB15" s="109"/>
      <c r="AC15" s="110"/>
      <c r="AD15" s="110"/>
      <c r="AE15" s="110"/>
      <c r="AF15" s="110"/>
      <c r="AG15" s="16">
        <f t="shared" si="16"/>
        <v>1.732999174213079</v>
      </c>
      <c r="AI15" s="28"/>
    </row>
    <row r="16" spans="1:35" ht="18.75">
      <c r="A16" s="26" t="s">
        <v>107</v>
      </c>
      <c r="B16" s="21" t="str">
        <f>ИНП!B16</f>
        <v>СП Первомайское </v>
      </c>
      <c r="C16" s="10">
        <f>ИНП!C16</f>
        <v>602</v>
      </c>
      <c r="D16" s="19">
        <v>0</v>
      </c>
      <c r="E16" s="19">
        <v>183</v>
      </c>
      <c r="F16" s="3">
        <f t="shared" si="0"/>
        <v>2.829079538792261</v>
      </c>
      <c r="G16" s="3">
        <f t="shared" si="8"/>
        <v>1.303986710963455</v>
      </c>
      <c r="H16" s="3">
        <f t="shared" si="9"/>
        <v>1</v>
      </c>
      <c r="I16" s="10">
        <f t="shared" si="10"/>
        <v>1703.1058823529413</v>
      </c>
      <c r="J16" s="10">
        <f t="shared" si="11"/>
        <v>602</v>
      </c>
      <c r="K16" s="10">
        <f t="shared" si="12"/>
        <v>1703.1058823529413</v>
      </c>
      <c r="L16" s="10">
        <f t="shared" si="13"/>
        <v>1703.1058823529413</v>
      </c>
      <c r="M16" s="10">
        <f t="shared" si="14"/>
        <v>1703.1058823529413</v>
      </c>
      <c r="N16" s="10">
        <f t="shared" si="15"/>
        <v>785</v>
      </c>
      <c r="O16" s="3">
        <f t="shared" si="1"/>
        <v>2.829079538792261</v>
      </c>
      <c r="P16" s="3">
        <f t="shared" si="2"/>
        <v>0.6403412515648425</v>
      </c>
      <c r="Q16" s="3">
        <f t="shared" si="3"/>
        <v>2.829079538792261</v>
      </c>
      <c r="R16" s="3">
        <f t="shared" si="4"/>
        <v>2.829079538792261</v>
      </c>
      <c r="S16" s="3">
        <f t="shared" si="5"/>
        <v>2.829079538792261</v>
      </c>
      <c r="T16" s="3">
        <f t="shared" si="6"/>
        <v>1.1459461546820064</v>
      </c>
      <c r="U16" s="110"/>
      <c r="V16" s="110"/>
      <c r="W16" s="110"/>
      <c r="X16" s="110"/>
      <c r="Y16" s="110"/>
      <c r="Z16" s="110"/>
      <c r="AA16" s="110"/>
      <c r="AB16" s="109"/>
      <c r="AC16" s="110"/>
      <c r="AD16" s="110"/>
      <c r="AE16" s="110"/>
      <c r="AF16" s="110"/>
      <c r="AG16" s="16">
        <f t="shared" si="16"/>
        <v>1.9975660753795843</v>
      </c>
      <c r="AI16" s="28"/>
    </row>
    <row r="17" spans="1:35" ht="18.75">
      <c r="A17" s="26" t="s">
        <v>108</v>
      </c>
      <c r="B17" s="21" t="str">
        <f>ИНП!B17</f>
        <v>СП Субуктуйское </v>
      </c>
      <c r="C17" s="10">
        <f>ИНП!C17</f>
        <v>502</v>
      </c>
      <c r="D17" s="19">
        <v>0</v>
      </c>
      <c r="E17" s="19">
        <v>502</v>
      </c>
      <c r="F17" s="3">
        <f t="shared" si="0"/>
        <v>3.312959925005859</v>
      </c>
      <c r="G17" s="3">
        <f t="shared" si="8"/>
        <v>2</v>
      </c>
      <c r="H17" s="3">
        <f t="shared" si="9"/>
        <v>1</v>
      </c>
      <c r="I17" s="10">
        <f t="shared" si="10"/>
        <v>1663.105882352941</v>
      </c>
      <c r="J17" s="10">
        <f t="shared" si="11"/>
        <v>502</v>
      </c>
      <c r="K17" s="10">
        <f t="shared" si="12"/>
        <v>1663.105882352941</v>
      </c>
      <c r="L17" s="10">
        <f t="shared" si="13"/>
        <v>1663.105882352941</v>
      </c>
      <c r="M17" s="10">
        <f t="shared" si="14"/>
        <v>1663.105882352941</v>
      </c>
      <c r="N17" s="10">
        <f t="shared" si="15"/>
        <v>1004</v>
      </c>
      <c r="O17" s="3">
        <f t="shared" si="1"/>
        <v>3.312959925005859</v>
      </c>
      <c r="P17" s="3">
        <f t="shared" si="2"/>
        <v>0.6403412515648425</v>
      </c>
      <c r="Q17" s="3">
        <f t="shared" si="3"/>
        <v>3.312959925005859</v>
      </c>
      <c r="R17" s="3">
        <f t="shared" si="4"/>
        <v>3.312959925005859</v>
      </c>
      <c r="S17" s="3">
        <f t="shared" si="5"/>
        <v>3.312959925005859</v>
      </c>
      <c r="T17" s="3">
        <f t="shared" si="6"/>
        <v>1.7576040385186442</v>
      </c>
      <c r="U17" s="110"/>
      <c r="V17" s="110"/>
      <c r="W17" s="110"/>
      <c r="X17" s="110"/>
      <c r="Y17" s="110"/>
      <c r="Z17" s="110"/>
      <c r="AA17" s="110"/>
      <c r="AB17" s="109"/>
      <c r="AC17" s="110"/>
      <c r="AD17" s="110"/>
      <c r="AE17" s="110"/>
      <c r="AF17" s="110"/>
      <c r="AG17" s="16">
        <f t="shared" si="16"/>
        <v>2.491317364303698</v>
      </c>
      <c r="AI17" s="28"/>
    </row>
    <row r="18" spans="1:35" ht="18.75">
      <c r="A18" s="26" t="s">
        <v>109</v>
      </c>
      <c r="B18" s="21" t="str">
        <f>ИНП!B18</f>
        <v>СП Тамирское </v>
      </c>
      <c r="C18" s="10">
        <f>ИНП!C18</f>
        <v>1416</v>
      </c>
      <c r="D18" s="19">
        <v>0</v>
      </c>
      <c r="E18" s="19">
        <f>323+309</f>
        <v>632</v>
      </c>
      <c r="F18" s="3">
        <f t="shared" si="0"/>
        <v>1.4327018943170486</v>
      </c>
      <c r="G18" s="3">
        <f t="shared" si="8"/>
        <v>1.4463276836158192</v>
      </c>
      <c r="H18" s="3">
        <f t="shared" si="9"/>
        <v>1</v>
      </c>
      <c r="I18" s="10">
        <f t="shared" si="10"/>
        <v>2028.705882352941</v>
      </c>
      <c r="J18" s="10">
        <f t="shared" si="11"/>
        <v>1416</v>
      </c>
      <c r="K18" s="10">
        <f t="shared" si="12"/>
        <v>2028.705882352941</v>
      </c>
      <c r="L18" s="10">
        <f t="shared" si="13"/>
        <v>2028.705882352941</v>
      </c>
      <c r="M18" s="10">
        <f t="shared" si="14"/>
        <v>2028.705882352941</v>
      </c>
      <c r="N18" s="10">
        <f t="shared" si="15"/>
        <v>2048</v>
      </c>
      <c r="O18" s="3">
        <f t="shared" si="1"/>
        <v>1.4327018943170486</v>
      </c>
      <c r="P18" s="3">
        <f t="shared" si="2"/>
        <v>0.6403412515648425</v>
      </c>
      <c r="Q18" s="3">
        <f t="shared" si="3"/>
        <v>1.4327018943170486</v>
      </c>
      <c r="R18" s="3">
        <f t="shared" si="4"/>
        <v>1.4327018943170486</v>
      </c>
      <c r="S18" s="3">
        <f t="shared" si="5"/>
        <v>1.4327018943170486</v>
      </c>
      <c r="T18" s="3">
        <f t="shared" si="6"/>
        <v>1.2710356888722398</v>
      </c>
      <c r="U18" s="110"/>
      <c r="V18" s="110"/>
      <c r="W18" s="110"/>
      <c r="X18" s="110"/>
      <c r="Y18" s="110"/>
      <c r="Z18" s="110"/>
      <c r="AA18" s="110"/>
      <c r="AB18" s="109"/>
      <c r="AC18" s="110"/>
      <c r="AD18" s="110"/>
      <c r="AE18" s="110"/>
      <c r="AF18" s="110"/>
      <c r="AG18" s="16">
        <f t="shared" si="16"/>
        <v>1.3051433691772738</v>
      </c>
      <c r="AI18" s="28"/>
    </row>
    <row r="19" spans="1:35" ht="18.75">
      <c r="A19" s="26" t="s">
        <v>110</v>
      </c>
      <c r="B19" s="21" t="str">
        <f>ИНП!B19</f>
        <v>СП Усть-киранское </v>
      </c>
      <c r="C19" s="10">
        <f>ИНП!C19</f>
        <v>1819</v>
      </c>
      <c r="D19" s="19">
        <v>0</v>
      </c>
      <c r="E19" s="19">
        <v>649</v>
      </c>
      <c r="F19" s="3">
        <f t="shared" si="0"/>
        <v>1.203906477379297</v>
      </c>
      <c r="G19" s="3">
        <f t="shared" si="8"/>
        <v>1.3567894447498625</v>
      </c>
      <c r="H19" s="3">
        <f t="shared" si="9"/>
        <v>1</v>
      </c>
      <c r="I19" s="10">
        <f t="shared" si="10"/>
        <v>2189.9058823529413</v>
      </c>
      <c r="J19" s="10">
        <f t="shared" si="11"/>
        <v>1819</v>
      </c>
      <c r="K19" s="10">
        <f t="shared" si="12"/>
        <v>2189.9058823529413</v>
      </c>
      <c r="L19" s="10">
        <f t="shared" si="13"/>
        <v>2189.9058823529413</v>
      </c>
      <c r="M19" s="10">
        <f t="shared" si="14"/>
        <v>2189.9058823529413</v>
      </c>
      <c r="N19" s="10">
        <f t="shared" si="15"/>
        <v>2468</v>
      </c>
      <c r="O19" s="3">
        <f t="shared" si="1"/>
        <v>1.203906477379297</v>
      </c>
      <c r="P19" s="3">
        <f t="shared" si="2"/>
        <v>0.6403412515648425</v>
      </c>
      <c r="Q19" s="3">
        <f t="shared" si="3"/>
        <v>1.203906477379297</v>
      </c>
      <c r="R19" s="3">
        <f t="shared" si="4"/>
        <v>1.203906477379297</v>
      </c>
      <c r="S19" s="3">
        <f t="shared" si="5"/>
        <v>1.203906477379297</v>
      </c>
      <c r="T19" s="3">
        <f t="shared" si="6"/>
        <v>1.1923493037559136</v>
      </c>
      <c r="U19" s="110"/>
      <c r="V19" s="110"/>
      <c r="W19" s="110"/>
      <c r="X19" s="110"/>
      <c r="Y19" s="110"/>
      <c r="Z19" s="110"/>
      <c r="AA19" s="110"/>
      <c r="AB19" s="109"/>
      <c r="AC19" s="110"/>
      <c r="AD19" s="110"/>
      <c r="AE19" s="110"/>
      <c r="AF19" s="110"/>
      <c r="AG19" s="16">
        <f t="shared" si="16"/>
        <v>1.1532580967210062</v>
      </c>
      <c r="AI19" s="28"/>
    </row>
    <row r="20" spans="1:35" ht="18.75">
      <c r="A20" s="26" t="s">
        <v>111</v>
      </c>
      <c r="B20" s="21" t="str">
        <f>ИНП!B20</f>
        <v>СП Усть-Кяхтинское </v>
      </c>
      <c r="C20" s="10">
        <f>ИНП!C20</f>
        <v>2127</v>
      </c>
      <c r="D20" s="19">
        <v>0</v>
      </c>
      <c r="E20" s="19">
        <v>0</v>
      </c>
      <c r="F20" s="3">
        <f t="shared" si="0"/>
        <v>1.087496888741392</v>
      </c>
      <c r="G20" s="3">
        <f t="shared" si="8"/>
        <v>1</v>
      </c>
      <c r="H20" s="3">
        <f t="shared" si="9"/>
        <v>1</v>
      </c>
      <c r="I20" s="10">
        <f t="shared" si="10"/>
        <v>2313.105882352941</v>
      </c>
      <c r="J20" s="10">
        <f t="shared" si="11"/>
        <v>2127</v>
      </c>
      <c r="K20" s="10">
        <f t="shared" si="12"/>
        <v>2313.105882352941</v>
      </c>
      <c r="L20" s="10">
        <f t="shared" si="13"/>
        <v>2313.105882352941</v>
      </c>
      <c r="M20" s="10">
        <f t="shared" si="14"/>
        <v>2313.105882352941</v>
      </c>
      <c r="N20" s="10">
        <f t="shared" si="15"/>
        <v>2127</v>
      </c>
      <c r="O20" s="3">
        <f t="shared" si="1"/>
        <v>1.087496888741392</v>
      </c>
      <c r="P20" s="3">
        <f t="shared" si="2"/>
        <v>0.6403412515648425</v>
      </c>
      <c r="Q20" s="3">
        <f t="shared" si="3"/>
        <v>1.087496888741392</v>
      </c>
      <c r="R20" s="3">
        <f t="shared" si="4"/>
        <v>1.087496888741392</v>
      </c>
      <c r="S20" s="3">
        <f t="shared" si="5"/>
        <v>1.087496888741392</v>
      </c>
      <c r="T20" s="3">
        <f t="shared" si="6"/>
        <v>0.8788020192593221</v>
      </c>
      <c r="U20" s="110"/>
      <c r="V20" s="110"/>
      <c r="W20" s="110"/>
      <c r="X20" s="110"/>
      <c r="Y20" s="110"/>
      <c r="Z20" s="110"/>
      <c r="AA20" s="110"/>
      <c r="AB20" s="109"/>
      <c r="AC20" s="110"/>
      <c r="AD20" s="110"/>
      <c r="AE20" s="110"/>
      <c r="AF20" s="110"/>
      <c r="AG20" s="16">
        <f t="shared" si="16"/>
        <v>0.9699960313021108</v>
      </c>
      <c r="AI20" s="28"/>
    </row>
    <row r="21" spans="1:35" ht="18.75">
      <c r="A21" s="26" t="s">
        <v>112</v>
      </c>
      <c r="B21" s="21" t="str">
        <f>ИНП!B21</f>
        <v>СП Хоронхойское </v>
      </c>
      <c r="C21" s="10">
        <f>ИНП!C21</f>
        <v>2211</v>
      </c>
      <c r="D21" s="19">
        <v>0</v>
      </c>
      <c r="E21" s="19">
        <v>0</v>
      </c>
      <c r="F21" s="3">
        <f t="shared" si="0"/>
        <v>1.0613776039588156</v>
      </c>
      <c r="G21" s="3">
        <f t="shared" si="8"/>
        <v>1</v>
      </c>
      <c r="H21" s="3">
        <f t="shared" si="9"/>
        <v>1</v>
      </c>
      <c r="I21" s="10">
        <f t="shared" si="10"/>
        <v>2346.7058823529414</v>
      </c>
      <c r="J21" s="10">
        <f t="shared" si="11"/>
        <v>2211</v>
      </c>
      <c r="K21" s="10">
        <f t="shared" si="12"/>
        <v>2346.7058823529414</v>
      </c>
      <c r="L21" s="10">
        <f t="shared" si="13"/>
        <v>2346.7058823529414</v>
      </c>
      <c r="M21" s="10">
        <f t="shared" si="14"/>
        <v>2346.7058823529414</v>
      </c>
      <c r="N21" s="10">
        <f t="shared" si="15"/>
        <v>2211</v>
      </c>
      <c r="O21" s="3">
        <f t="shared" si="1"/>
        <v>1.0613776039588156</v>
      </c>
      <c r="P21" s="3">
        <f t="shared" si="2"/>
        <v>0.6403412515648425</v>
      </c>
      <c r="Q21" s="3">
        <f t="shared" si="3"/>
        <v>1.0613776039588156</v>
      </c>
      <c r="R21" s="3">
        <f t="shared" si="4"/>
        <v>1.0613776039588156</v>
      </c>
      <c r="S21" s="3">
        <f t="shared" si="5"/>
        <v>1.0613776039588156</v>
      </c>
      <c r="T21" s="3">
        <f t="shared" si="6"/>
        <v>0.8788020192593221</v>
      </c>
      <c r="U21" s="110"/>
      <c r="V21" s="110"/>
      <c r="W21" s="110"/>
      <c r="X21" s="110"/>
      <c r="Y21" s="110"/>
      <c r="Z21" s="110"/>
      <c r="AA21" s="110"/>
      <c r="AB21" s="109"/>
      <c r="AC21" s="110"/>
      <c r="AD21" s="110"/>
      <c r="AE21" s="110"/>
      <c r="AF21" s="110"/>
      <c r="AG21" s="16">
        <f t="shared" si="16"/>
        <v>0.9561375885972426</v>
      </c>
      <c r="AI21" s="28"/>
    </row>
    <row r="22" spans="1:35" ht="18.75">
      <c r="A22" s="26" t="s">
        <v>113</v>
      </c>
      <c r="B22" s="21" t="str">
        <f>ИНП!B22</f>
        <v>СП Чикойское </v>
      </c>
      <c r="C22" s="10">
        <f>ИНП!C22</f>
        <v>754</v>
      </c>
      <c r="D22" s="19">
        <v>0</v>
      </c>
      <c r="E22" s="19">
        <v>0</v>
      </c>
      <c r="F22" s="3">
        <f t="shared" si="0"/>
        <v>2.339397721953503</v>
      </c>
      <c r="G22" s="3">
        <f t="shared" si="8"/>
        <v>1</v>
      </c>
      <c r="H22" s="3">
        <f t="shared" si="9"/>
        <v>1</v>
      </c>
      <c r="I22" s="10">
        <f t="shared" si="10"/>
        <v>1763.9058823529413</v>
      </c>
      <c r="J22" s="10">
        <f t="shared" si="11"/>
        <v>754</v>
      </c>
      <c r="K22" s="10">
        <f t="shared" si="12"/>
        <v>1763.9058823529413</v>
      </c>
      <c r="L22" s="10">
        <f t="shared" si="13"/>
        <v>1763.9058823529413</v>
      </c>
      <c r="M22" s="10">
        <f t="shared" si="14"/>
        <v>1763.9058823529413</v>
      </c>
      <c r="N22" s="10">
        <f t="shared" si="15"/>
        <v>754</v>
      </c>
      <c r="O22" s="3">
        <f t="shared" si="1"/>
        <v>2.339397721953503</v>
      </c>
      <c r="P22" s="3">
        <f t="shared" si="2"/>
        <v>0.6403412515648425</v>
      </c>
      <c r="Q22" s="3">
        <f t="shared" si="3"/>
        <v>2.339397721953503</v>
      </c>
      <c r="R22" s="3">
        <f t="shared" si="4"/>
        <v>2.339397721953503</v>
      </c>
      <c r="S22" s="3">
        <f t="shared" si="5"/>
        <v>2.339397721953503</v>
      </c>
      <c r="T22" s="3">
        <f t="shared" si="6"/>
        <v>0.8788020192593221</v>
      </c>
      <c r="U22" s="110"/>
      <c r="V22" s="110"/>
      <c r="W22" s="110"/>
      <c r="X22" s="110"/>
      <c r="Y22" s="110"/>
      <c r="Z22" s="110"/>
      <c r="AA22" s="110"/>
      <c r="AB22" s="109"/>
      <c r="AC22" s="110"/>
      <c r="AD22" s="110"/>
      <c r="AE22" s="110"/>
      <c r="AF22" s="110"/>
      <c r="AG22" s="16">
        <f t="shared" si="16"/>
        <v>1.634233054393194</v>
      </c>
      <c r="AI22" s="28"/>
    </row>
    <row r="23" spans="1:35" ht="18.75">
      <c r="A23" s="26" t="s">
        <v>114</v>
      </c>
      <c r="B23" s="21" t="str">
        <f>ИНП!B23</f>
        <v>СП Шарагольское </v>
      </c>
      <c r="C23" s="10">
        <f>ИНП!C23</f>
        <v>1027</v>
      </c>
      <c r="D23" s="19">
        <v>0</v>
      </c>
      <c r="E23" s="19">
        <v>1027</v>
      </c>
      <c r="F23" s="3">
        <f t="shared" si="0"/>
        <v>1.823861618649407</v>
      </c>
      <c r="G23" s="3">
        <f t="shared" si="8"/>
        <v>2</v>
      </c>
      <c r="H23" s="3">
        <f t="shared" si="9"/>
        <v>1</v>
      </c>
      <c r="I23" s="10">
        <f t="shared" si="10"/>
        <v>1873.105882352941</v>
      </c>
      <c r="J23" s="10">
        <f t="shared" si="11"/>
        <v>1027</v>
      </c>
      <c r="K23" s="10">
        <f t="shared" si="12"/>
        <v>1873.105882352941</v>
      </c>
      <c r="L23" s="10">
        <f t="shared" si="13"/>
        <v>1873.105882352941</v>
      </c>
      <c r="M23" s="10">
        <f t="shared" si="14"/>
        <v>1873.105882352941</v>
      </c>
      <c r="N23" s="10">
        <f t="shared" si="15"/>
        <v>2054</v>
      </c>
      <c r="O23" s="3">
        <f t="shared" si="1"/>
        <v>1.823861618649407</v>
      </c>
      <c r="P23" s="3">
        <f t="shared" si="2"/>
        <v>0.6403412515648425</v>
      </c>
      <c r="Q23" s="3">
        <f t="shared" si="3"/>
        <v>1.823861618649407</v>
      </c>
      <c r="R23" s="3">
        <f t="shared" si="4"/>
        <v>1.823861618649407</v>
      </c>
      <c r="S23" s="3">
        <f t="shared" si="5"/>
        <v>1.823861618649407</v>
      </c>
      <c r="T23" s="3">
        <f t="shared" si="6"/>
        <v>1.7576040385186442</v>
      </c>
      <c r="U23" s="110"/>
      <c r="V23" s="110"/>
      <c r="W23" s="110"/>
      <c r="X23" s="110"/>
      <c r="Y23" s="110"/>
      <c r="Z23" s="110"/>
      <c r="AA23" s="110"/>
      <c r="AB23" s="109"/>
      <c r="AC23" s="110"/>
      <c r="AD23" s="110"/>
      <c r="AE23" s="110"/>
      <c r="AF23" s="110"/>
      <c r="AG23" s="16">
        <f t="shared" si="16"/>
        <v>1.7012274467450308</v>
      </c>
      <c r="AI23" s="28"/>
    </row>
    <row r="24" spans="1:35" ht="18.75">
      <c r="A24" s="26" t="s">
        <v>133</v>
      </c>
      <c r="B24" s="21" t="str">
        <f>ИНП!B24</f>
        <v>ГП Город Кяхта </v>
      </c>
      <c r="C24" s="10">
        <f>ИНП!C24</f>
        <v>19359</v>
      </c>
      <c r="D24" s="19">
        <v>19359</v>
      </c>
      <c r="E24" s="19">
        <v>0</v>
      </c>
      <c r="F24" s="3">
        <f t="shared" si="0"/>
        <v>0.47553623029872105</v>
      </c>
      <c r="G24" s="3">
        <f t="shared" si="8"/>
        <v>1</v>
      </c>
      <c r="H24" s="3">
        <f t="shared" si="9"/>
        <v>2</v>
      </c>
      <c r="I24" s="10">
        <f t="shared" si="10"/>
        <v>9205.905882352941</v>
      </c>
      <c r="J24" s="10">
        <f t="shared" si="11"/>
        <v>38718</v>
      </c>
      <c r="K24" s="10">
        <f t="shared" si="12"/>
        <v>9205.905882352941</v>
      </c>
      <c r="L24" s="10">
        <f t="shared" si="13"/>
        <v>9205.905882352941</v>
      </c>
      <c r="M24" s="10">
        <f t="shared" si="14"/>
        <v>9205.905882352941</v>
      </c>
      <c r="N24" s="10">
        <f t="shared" si="15"/>
        <v>19359</v>
      </c>
      <c r="O24" s="3">
        <f t="shared" si="1"/>
        <v>0.47553623029872105</v>
      </c>
      <c r="P24" s="3">
        <f t="shared" si="2"/>
        <v>1.280682503129685</v>
      </c>
      <c r="Q24" s="3">
        <f t="shared" si="3"/>
        <v>0.47553623029872105</v>
      </c>
      <c r="R24" s="3">
        <f t="shared" si="4"/>
        <v>0.47553623029872105</v>
      </c>
      <c r="S24" s="3">
        <f t="shared" si="5"/>
        <v>0.47553623029872105</v>
      </c>
      <c r="T24" s="3">
        <f t="shared" si="6"/>
        <v>0.8788020192593221</v>
      </c>
      <c r="U24" s="110"/>
      <c r="V24" s="110"/>
      <c r="W24" s="110"/>
      <c r="X24" s="110"/>
      <c r="Y24" s="110"/>
      <c r="Z24" s="110"/>
      <c r="AA24" s="110"/>
      <c r="AB24" s="109"/>
      <c r="AC24" s="110"/>
      <c r="AD24" s="110"/>
      <c r="AE24" s="110"/>
      <c r="AF24" s="110"/>
      <c r="AG24" s="16">
        <f t="shared" si="16"/>
        <v>0.6977601837568188</v>
      </c>
      <c r="AI24" s="28"/>
    </row>
    <row r="25" spans="1:35" ht="18.75">
      <c r="A25" s="26" t="s">
        <v>134</v>
      </c>
      <c r="B25" s="21" t="str">
        <f>ИНП!B25</f>
        <v>ГП Наушкинское </v>
      </c>
      <c r="C25" s="10">
        <f>ИНП!C25</f>
        <v>3912</v>
      </c>
      <c r="D25" s="19">
        <v>3912</v>
      </c>
      <c r="E25" s="19">
        <v>0</v>
      </c>
      <c r="F25" s="3">
        <f t="shared" si="0"/>
        <v>0.7738000721761097</v>
      </c>
      <c r="G25" s="3">
        <f t="shared" si="8"/>
        <v>1</v>
      </c>
      <c r="H25" s="3">
        <f t="shared" si="9"/>
        <v>2</v>
      </c>
      <c r="I25" s="10">
        <f t="shared" si="10"/>
        <v>3027.105882352941</v>
      </c>
      <c r="J25" s="10">
        <f t="shared" si="11"/>
        <v>7824</v>
      </c>
      <c r="K25" s="10">
        <f t="shared" si="12"/>
        <v>3027.105882352941</v>
      </c>
      <c r="L25" s="10">
        <f t="shared" si="13"/>
        <v>3027.105882352941</v>
      </c>
      <c r="M25" s="10">
        <f t="shared" si="14"/>
        <v>3027.105882352941</v>
      </c>
      <c r="N25" s="10">
        <f t="shared" si="15"/>
        <v>3912</v>
      </c>
      <c r="O25" s="3">
        <f t="shared" si="1"/>
        <v>0.7738000721761097</v>
      </c>
      <c r="P25" s="3">
        <f t="shared" si="2"/>
        <v>1.280682503129685</v>
      </c>
      <c r="Q25" s="3">
        <f t="shared" si="3"/>
        <v>0.7738000721761097</v>
      </c>
      <c r="R25" s="3">
        <f t="shared" si="4"/>
        <v>0.7738000721761097</v>
      </c>
      <c r="S25" s="3">
        <f t="shared" si="5"/>
        <v>0.7738000721761097</v>
      </c>
      <c r="T25" s="3">
        <f t="shared" si="6"/>
        <v>0.8788020192593221</v>
      </c>
      <c r="U25" s="110"/>
      <c r="V25" s="110"/>
      <c r="W25" s="110"/>
      <c r="X25" s="110"/>
      <c r="Y25" s="110"/>
      <c r="Z25" s="110"/>
      <c r="AA25" s="110"/>
      <c r="AB25" s="109"/>
      <c r="AC25" s="110"/>
      <c r="AD25" s="110"/>
      <c r="AE25" s="110"/>
      <c r="AF25" s="110"/>
      <c r="AG25" s="16">
        <f t="shared" si="16"/>
        <v>0.8560138418489042</v>
      </c>
      <c r="AI25" s="28"/>
    </row>
    <row r="26" spans="1:33" ht="18.75">
      <c r="A26" s="104" t="s">
        <v>2</v>
      </c>
      <c r="B26" s="104"/>
      <c r="C26" s="11">
        <f>SUM(C9:C25)</f>
        <v>41432</v>
      </c>
      <c r="D26" s="20">
        <f>SUM(D9:D25)</f>
        <v>23271</v>
      </c>
      <c r="E26" s="20">
        <f>SUM(E9:E25)</f>
        <v>5714</v>
      </c>
      <c r="F26" s="3"/>
      <c r="G26" s="4"/>
      <c r="H26" s="4"/>
      <c r="I26" s="11">
        <f aca="true" t="shared" si="17" ref="I26:T26">SUM(I9:I25)</f>
        <v>41432</v>
      </c>
      <c r="J26" s="11">
        <f t="shared" si="17"/>
        <v>64703</v>
      </c>
      <c r="K26" s="11">
        <f t="shared" si="17"/>
        <v>41432</v>
      </c>
      <c r="L26" s="11">
        <f t="shared" si="17"/>
        <v>41432</v>
      </c>
      <c r="M26" s="11">
        <f t="shared" si="17"/>
        <v>41432</v>
      </c>
      <c r="N26" s="11">
        <f>SUM(N9:N25)</f>
        <v>47146</v>
      </c>
      <c r="O26" s="4">
        <f t="shared" si="17"/>
        <v>29.926400270010486</v>
      </c>
      <c r="P26" s="4">
        <f t="shared" si="17"/>
        <v>12.166483779732005</v>
      </c>
      <c r="Q26" s="4">
        <f t="shared" si="17"/>
        <v>29.926400270010486</v>
      </c>
      <c r="R26" s="4">
        <f t="shared" si="17"/>
        <v>29.926400270010486</v>
      </c>
      <c r="S26" s="4">
        <f t="shared" si="17"/>
        <v>29.926400270010486</v>
      </c>
      <c r="T26" s="4">
        <f t="shared" si="17"/>
        <v>19.930163144680822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6"/>
    </row>
    <row r="27" ht="18.75">
      <c r="V27" s="36">
        <f>U9+V9+W9+X9+Y9+Z9</f>
        <v>109015.59999999999</v>
      </c>
    </row>
    <row r="29" spans="1:33" s="2" customFormat="1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</sheetData>
  <sheetProtection/>
  <mergeCells count="25">
    <mergeCell ref="U5:Z5"/>
    <mergeCell ref="AA5:AF5"/>
    <mergeCell ref="AA9:AA25"/>
    <mergeCell ref="U9:U25"/>
    <mergeCell ref="V9:V25"/>
    <mergeCell ref="W9:W25"/>
    <mergeCell ref="X9:X25"/>
    <mergeCell ref="Y9:Y25"/>
    <mergeCell ref="Z9:Z25"/>
    <mergeCell ref="AG5:AG6"/>
    <mergeCell ref="AB9:AB25"/>
    <mergeCell ref="AC9:AC25"/>
    <mergeCell ref="AD9:AD25"/>
    <mergeCell ref="AE9:AE25"/>
    <mergeCell ref="AF9:AF25"/>
    <mergeCell ref="I5:N5"/>
    <mergeCell ref="D5:E5"/>
    <mergeCell ref="O5:T5"/>
    <mergeCell ref="C3:D3"/>
    <mergeCell ref="A3:B3"/>
    <mergeCell ref="C5:C6"/>
    <mergeCell ref="F5:H5"/>
    <mergeCell ref="A26:B26"/>
    <mergeCell ref="B5:B7"/>
    <mergeCell ref="A5:A7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scale="48" r:id="rId1"/>
  <colBreaks count="1" manualBreakCount="1">
    <brk id="1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7.421875" style="1" customWidth="1"/>
    <col min="2" max="2" width="33.421875" style="1" customWidth="1"/>
    <col min="3" max="3" width="17.421875" style="1" customWidth="1"/>
    <col min="4" max="5" width="20.421875" style="1" customWidth="1"/>
    <col min="6" max="16384" width="9.140625" style="1" customWidth="1"/>
  </cols>
  <sheetData>
    <row r="1" spans="1:2" s="2" customFormat="1" ht="18.75">
      <c r="A1" s="8" t="s">
        <v>66</v>
      </c>
      <c r="B1" s="8"/>
    </row>
    <row r="2" s="2" customFormat="1" ht="18.75"/>
    <row r="3" spans="1:3" s="2" customFormat="1" ht="18.75">
      <c r="A3" s="95" t="s">
        <v>1</v>
      </c>
      <c r="B3" s="95"/>
      <c r="C3" s="2" t="s">
        <v>132</v>
      </c>
    </row>
    <row r="4" s="2" customFormat="1" ht="18.75"/>
    <row r="5" spans="1:5" s="9" customFormat="1" ht="36" customHeight="1">
      <c r="A5" s="91" t="s">
        <v>3</v>
      </c>
      <c r="B5" s="91" t="s">
        <v>0</v>
      </c>
      <c r="C5" s="91" t="s">
        <v>18</v>
      </c>
      <c r="D5" s="91" t="s">
        <v>60</v>
      </c>
      <c r="E5" s="91" t="s">
        <v>65</v>
      </c>
    </row>
    <row r="6" spans="1:5" s="12" customFormat="1" ht="70.5" customHeight="1">
      <c r="A6" s="89"/>
      <c r="B6" s="89"/>
      <c r="C6" s="92"/>
      <c r="D6" s="92"/>
      <c r="E6" s="92"/>
    </row>
    <row r="7" spans="1:5" s="13" customFormat="1" ht="18.75">
      <c r="A7" s="92"/>
      <c r="B7" s="92"/>
      <c r="C7" s="7" t="s">
        <v>17</v>
      </c>
      <c r="D7" s="7" t="s">
        <v>61</v>
      </c>
      <c r="E7" s="7" t="s">
        <v>61</v>
      </c>
    </row>
    <row r="8" spans="1:5" s="14" customFormat="1" ht="22.5" customHeight="1">
      <c r="A8" s="26" t="s">
        <v>100</v>
      </c>
      <c r="B8" s="21" t="str">
        <f>ИНП!B9</f>
        <v>СП Алтайское </v>
      </c>
      <c r="C8" s="3">
        <f>ИНП!K9</f>
        <v>0.3515527576497861</v>
      </c>
      <c r="D8" s="3">
        <f>ИБР!AG9</f>
        <v>1.5201681521659531</v>
      </c>
      <c r="E8" s="16">
        <f>C8/D8</f>
        <v>0.23125912560981474</v>
      </c>
    </row>
    <row r="9" spans="1:5" ht="19.5" customHeight="1">
      <c r="A9" s="26" t="s">
        <v>101</v>
      </c>
      <c r="B9" s="21" t="str">
        <f>ИНП!B10</f>
        <v>СП Большекударинское </v>
      </c>
      <c r="C9" s="16">
        <f>ИНП!K10</f>
        <v>0.5125987100874421</v>
      </c>
      <c r="D9" s="3">
        <f>ИБР!AG10</f>
        <v>1.195599223799067</v>
      </c>
      <c r="E9" s="16">
        <f aca="true" t="shared" si="0" ref="E9:E24">C9/D9</f>
        <v>0.4287379080580515</v>
      </c>
    </row>
    <row r="10" spans="1:5" ht="18.75">
      <c r="A10" s="26" t="s">
        <v>102</v>
      </c>
      <c r="B10" s="21" t="str">
        <f>ИНП!B11</f>
        <v>СП Большелугское </v>
      </c>
      <c r="C10" s="3">
        <f>ИНП!K11</f>
        <v>0.40313706593511045</v>
      </c>
      <c r="D10" s="3">
        <f>ИБР!AG11</f>
        <v>1.466530183009171</v>
      </c>
      <c r="E10" s="16">
        <f t="shared" si="0"/>
        <v>0.27489176193285986</v>
      </c>
    </row>
    <row r="11" spans="1:5" ht="18.75">
      <c r="A11" s="26" t="s">
        <v>103</v>
      </c>
      <c r="B11" s="21" t="str">
        <f>ИНП!B12</f>
        <v>СП Зарянское </v>
      </c>
      <c r="C11" s="3">
        <f>ИНП!K12</f>
        <v>0.5310737308228775</v>
      </c>
      <c r="D11" s="3">
        <f>ИБР!AG12</f>
        <v>1.8047939347284667</v>
      </c>
      <c r="E11" s="16">
        <f t="shared" si="0"/>
        <v>0.29425726705069966</v>
      </c>
    </row>
    <row r="12" spans="1:5" ht="18.75">
      <c r="A12" s="26" t="s">
        <v>104</v>
      </c>
      <c r="B12" s="21" t="str">
        <f>ИНП!B13</f>
        <v>СП Кударинское </v>
      </c>
      <c r="C12" s="3">
        <f>ИНП!K13</f>
        <v>0.5804960372637056</v>
      </c>
      <c r="D12" s="3">
        <f>ИБР!AG13</f>
        <v>1.0948423193463994</v>
      </c>
      <c r="E12" s="16">
        <f t="shared" si="0"/>
        <v>0.5302097178799692</v>
      </c>
    </row>
    <row r="13" spans="1:5" ht="18.75">
      <c r="A13" s="26" t="s">
        <v>105</v>
      </c>
      <c r="B13" s="21" t="str">
        <f>ИНП!B14</f>
        <v>СП Малокударинское </v>
      </c>
      <c r="C13" s="3">
        <f>ИНП!K14</f>
        <v>0.7476626125525471</v>
      </c>
      <c r="D13" s="3">
        <f>ИБР!AG14</f>
        <v>2.0203691622902293</v>
      </c>
      <c r="E13" s="16">
        <f t="shared" si="0"/>
        <v>0.3700623759793578</v>
      </c>
    </row>
    <row r="14" spans="1:5" ht="20.25" customHeight="1">
      <c r="A14" s="26" t="s">
        <v>106</v>
      </c>
      <c r="B14" s="21" t="str">
        <f>ИНП!B15</f>
        <v>СП Мурочинское </v>
      </c>
      <c r="C14" s="3">
        <f>ИНП!K15</f>
        <v>0.18345852596831033</v>
      </c>
      <c r="D14" s="3">
        <f>ИБР!AG15</f>
        <v>1.732999174213079</v>
      </c>
      <c r="E14" s="16">
        <f t="shared" si="0"/>
        <v>0.10586186577475737</v>
      </c>
    </row>
    <row r="15" spans="1:8" ht="18.75">
      <c r="A15" s="26" t="s">
        <v>107</v>
      </c>
      <c r="B15" s="21" t="str">
        <f>ИНП!B16</f>
        <v>СП Первомайское </v>
      </c>
      <c r="C15" s="3">
        <f>ИНП!K16</f>
        <v>0.39578846631090453</v>
      </c>
      <c r="D15" s="3">
        <f>ИБР!AG16</f>
        <v>1.9975660753795843</v>
      </c>
      <c r="E15" s="16">
        <f t="shared" si="0"/>
        <v>0.1981353564165308</v>
      </c>
      <c r="H15" s="17"/>
    </row>
    <row r="16" spans="1:5" ht="18.75">
      <c r="A16" s="26" t="s">
        <v>108</v>
      </c>
      <c r="B16" s="21" t="str">
        <f>ИНП!B17</f>
        <v>СП Субуктуйское </v>
      </c>
      <c r="C16" s="3">
        <f>ИНП!K17</f>
        <v>0.23617628124194473</v>
      </c>
      <c r="D16" s="3">
        <f>ИБР!AG17</f>
        <v>2.491317364303698</v>
      </c>
      <c r="E16" s="16">
        <f t="shared" si="0"/>
        <v>0.09479975719912104</v>
      </c>
    </row>
    <row r="17" spans="1:5" ht="18.75">
      <c r="A17" s="26" t="s">
        <v>109</v>
      </c>
      <c r="B17" s="21" t="str">
        <f>ИНП!B18</f>
        <v>СП Тамирское </v>
      </c>
      <c r="C17" s="3">
        <f>ИНП!K18</f>
        <v>0.7139862933550558</v>
      </c>
      <c r="D17" s="3">
        <f>ИБР!AG18</f>
        <v>1.3051433691772738</v>
      </c>
      <c r="E17" s="16">
        <f t="shared" si="0"/>
        <v>0.5470558332646114</v>
      </c>
    </row>
    <row r="18" spans="1:5" ht="18.75">
      <c r="A18" s="26" t="s">
        <v>110</v>
      </c>
      <c r="B18" s="21" t="str">
        <f>ИНП!B19</f>
        <v>СП Усть-киранское </v>
      </c>
      <c r="C18" s="3">
        <f>ИНП!K19</f>
        <v>0.3818521865133086</v>
      </c>
      <c r="D18" s="3">
        <f>ИБР!AG19</f>
        <v>1.1532580967210062</v>
      </c>
      <c r="E18" s="16">
        <f t="shared" si="0"/>
        <v>0.3311073103228214</v>
      </c>
    </row>
    <row r="19" spans="1:5" ht="18.75">
      <c r="A19" s="26" t="s">
        <v>111</v>
      </c>
      <c r="B19" s="21" t="str">
        <f>ИНП!B20</f>
        <v>СП Усть-Кяхтинское </v>
      </c>
      <c r="C19" s="3">
        <f>ИНП!K20</f>
        <v>0.45440927227856825</v>
      </c>
      <c r="D19" s="3">
        <f>ИБР!AG20</f>
        <v>0.9699960313021108</v>
      </c>
      <c r="E19" s="16">
        <f t="shared" si="0"/>
        <v>0.46846508399480236</v>
      </c>
    </row>
    <row r="20" spans="1:5" ht="18.75">
      <c r="A20" s="26" t="s">
        <v>112</v>
      </c>
      <c r="B20" s="21" t="str">
        <f>ИНП!B21</f>
        <v>СП Хоронхойское </v>
      </c>
      <c r="C20" s="3">
        <f>ИНП!K21</f>
        <v>0.33409496746775297</v>
      </c>
      <c r="D20" s="3">
        <f>ИБР!AG21</f>
        <v>0.9561375885972426</v>
      </c>
      <c r="E20" s="16">
        <f t="shared" si="0"/>
        <v>0.3494214341660874</v>
      </c>
    </row>
    <row r="21" spans="1:5" ht="18.75">
      <c r="A21" s="26" t="s">
        <v>113</v>
      </c>
      <c r="B21" s="21" t="str">
        <f>ИНП!B22</f>
        <v>СП Чикойское </v>
      </c>
      <c r="C21" s="3">
        <f>ИНП!K22</f>
        <v>0.27808076646268537</v>
      </c>
      <c r="D21" s="3">
        <f>ИБР!AG22</f>
        <v>1.634233054393194</v>
      </c>
      <c r="E21" s="16">
        <f t="shared" si="0"/>
        <v>0.1701597980258326</v>
      </c>
    </row>
    <row r="22" spans="1:5" ht="18.75">
      <c r="A22" s="26" t="s">
        <v>114</v>
      </c>
      <c r="B22" s="21" t="str">
        <f>ИНП!B23</f>
        <v>СП Шарагольское </v>
      </c>
      <c r="C22" s="3">
        <f>ИНП!K23</f>
        <v>0.45224657984215316</v>
      </c>
      <c r="D22" s="3">
        <f>ИБР!AG23</f>
        <v>1.7012274467450308</v>
      </c>
      <c r="E22" s="16">
        <f t="shared" si="0"/>
        <v>0.2658354593957671</v>
      </c>
    </row>
    <row r="23" spans="1:5" ht="18.75">
      <c r="A23" s="26" t="s">
        <v>133</v>
      </c>
      <c r="B23" s="21" t="str">
        <f>ИНП!B24</f>
        <v>ГП Город Кяхта </v>
      </c>
      <c r="C23" s="3">
        <f>ИНП!K24</f>
        <v>1.3138841253707019</v>
      </c>
      <c r="D23" s="3">
        <f>ИБР!AG24</f>
        <v>0.6977601837568188</v>
      </c>
      <c r="E23" s="16">
        <f t="shared" si="0"/>
        <v>1.8830024354450878</v>
      </c>
    </row>
    <row r="24" spans="1:5" ht="18.75">
      <c r="A24" s="26" t="s">
        <v>134</v>
      </c>
      <c r="B24" s="21" t="str">
        <f>ИНП!B25</f>
        <v>ГП Наушкинское </v>
      </c>
      <c r="C24" s="3">
        <f>ИНП!K25</f>
        <v>1.994796532941226</v>
      </c>
      <c r="D24" s="3">
        <f>ИБР!AG25</f>
        <v>0.8560138418489042</v>
      </c>
      <c r="E24" s="16">
        <f t="shared" si="0"/>
        <v>2.33033209910796</v>
      </c>
    </row>
    <row r="25" spans="1:5" ht="18.75">
      <c r="A25" s="104" t="s">
        <v>2</v>
      </c>
      <c r="B25" s="104"/>
      <c r="C25" s="3"/>
      <c r="D25" s="3"/>
      <c r="E25" s="16"/>
    </row>
    <row r="28" spans="1:5" s="2" customFormat="1" ht="18.75">
      <c r="A28" s="1"/>
      <c r="B28" s="1"/>
      <c r="C28" s="1"/>
      <c r="D28" s="1"/>
      <c r="E28" s="1"/>
    </row>
  </sheetData>
  <sheetProtection/>
  <mergeCells count="7">
    <mergeCell ref="E5:E6"/>
    <mergeCell ref="A3:B3"/>
    <mergeCell ref="C5:C6"/>
    <mergeCell ref="A25:B25"/>
    <mergeCell ref="B5:B7"/>
    <mergeCell ref="A5:A7"/>
    <mergeCell ref="D5:D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75" zoomScalePageLayoutView="0" workbookViewId="0" topLeftCell="A4">
      <pane xSplit="2" topLeftCell="C1" activePane="topRight" state="frozen"/>
      <selection pane="topLeft" activeCell="J33" sqref="J33"/>
      <selection pane="topRight" activeCell="L18" sqref="L18"/>
    </sheetView>
  </sheetViews>
  <sheetFormatPr defaultColWidth="9.140625" defaultRowHeight="12.75"/>
  <cols>
    <col min="1" max="1" width="7.421875" style="1" customWidth="1"/>
    <col min="2" max="2" width="30.28125" style="1" customWidth="1"/>
    <col min="3" max="3" width="14.421875" style="1" customWidth="1"/>
    <col min="4" max="4" width="15.140625" style="1" customWidth="1"/>
    <col min="5" max="5" width="12.00390625" style="1" customWidth="1"/>
    <col min="6" max="6" width="11.140625" style="1" customWidth="1"/>
    <col min="7" max="7" width="12.28125" style="1" customWidth="1"/>
    <col min="8" max="8" width="10.8515625" style="1" customWidth="1"/>
    <col min="9" max="9" width="14.8515625" style="1" customWidth="1"/>
    <col min="10" max="10" width="15.28125" style="1" customWidth="1"/>
    <col min="11" max="11" width="17.00390625" style="1" customWidth="1"/>
    <col min="12" max="12" width="14.421875" style="1" customWidth="1"/>
    <col min="13" max="13" width="15.28125" style="1" customWidth="1"/>
    <col min="14" max="16384" width="9.140625" style="14" customWidth="1"/>
  </cols>
  <sheetData>
    <row r="1" spans="1:13" ht="18.75" customHeight="1">
      <c r="A1" s="113" t="s">
        <v>141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5" customFormat="1" ht="18.75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5" customFormat="1" ht="18.75">
      <c r="A4" s="2"/>
      <c r="B4" s="2"/>
      <c r="C4" s="2"/>
      <c r="D4" s="2"/>
      <c r="E4" s="2"/>
      <c r="F4" s="2"/>
      <c r="G4" s="2"/>
      <c r="H4" s="2"/>
      <c r="I4" s="2" t="s">
        <v>69</v>
      </c>
      <c r="J4" s="24">
        <v>0.7</v>
      </c>
      <c r="K4" s="4">
        <f>J4*J26</f>
        <v>33862.406283903925</v>
      </c>
      <c r="L4" s="31"/>
      <c r="M4" s="25"/>
    </row>
    <row r="5" spans="1:13" s="15" customFormat="1" ht="39" customHeight="1">
      <c r="A5" s="2"/>
      <c r="B5" s="2"/>
      <c r="C5" s="2" t="s">
        <v>1</v>
      </c>
      <c r="D5" s="2" t="s">
        <v>115</v>
      </c>
      <c r="E5" s="2"/>
      <c r="F5" s="2"/>
      <c r="G5" s="2"/>
      <c r="H5" s="2"/>
      <c r="I5" s="2"/>
      <c r="J5" s="27"/>
      <c r="K5" s="2"/>
      <c r="L5" s="2"/>
      <c r="M5" s="2"/>
    </row>
    <row r="6" spans="1:13" s="15" customFormat="1" ht="18.75">
      <c r="A6" s="2"/>
      <c r="B6" s="2"/>
      <c r="C6" s="2"/>
      <c r="D6" s="2">
        <v>4000</v>
      </c>
      <c r="E6" s="2"/>
      <c r="F6" s="2"/>
      <c r="G6" s="2"/>
      <c r="H6" s="2"/>
      <c r="I6" s="2"/>
      <c r="J6" s="2"/>
      <c r="K6" s="2"/>
      <c r="L6" s="2"/>
      <c r="M6" s="2"/>
    </row>
    <row r="7" spans="1:13" s="12" customFormat="1" ht="235.5" customHeight="1">
      <c r="A7" s="43" t="s">
        <v>3</v>
      </c>
      <c r="B7" s="43" t="s">
        <v>0</v>
      </c>
      <c r="C7" s="44" t="s">
        <v>137</v>
      </c>
      <c r="D7" s="44" t="s">
        <v>70</v>
      </c>
      <c r="E7" s="44" t="s">
        <v>140</v>
      </c>
      <c r="F7" s="44" t="s">
        <v>18</v>
      </c>
      <c r="G7" s="44" t="s">
        <v>98</v>
      </c>
      <c r="H7" s="45" t="s">
        <v>65</v>
      </c>
      <c r="I7" s="45" t="s">
        <v>97</v>
      </c>
      <c r="J7" s="45" t="s">
        <v>73</v>
      </c>
      <c r="K7" s="45" t="s">
        <v>72</v>
      </c>
      <c r="L7" s="45" t="s">
        <v>136</v>
      </c>
      <c r="M7" s="46" t="s">
        <v>71</v>
      </c>
    </row>
    <row r="8" spans="1:13" s="12" customFormat="1" ht="18.7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/>
      <c r="M8" s="43">
        <v>12</v>
      </c>
    </row>
    <row r="9" spans="1:13" ht="22.5" customHeight="1">
      <c r="A9" s="26" t="s">
        <v>100</v>
      </c>
      <c r="B9" s="21" t="str">
        <f>ИНП!B9</f>
        <v>СП Алтайское </v>
      </c>
      <c r="C9" s="47">
        <f>ИНП!C9</f>
        <v>848</v>
      </c>
      <c r="D9" s="116">
        <f>L26</f>
        <v>4000</v>
      </c>
      <c r="E9" s="114">
        <f>ИНП!H26/ИНП!C26</f>
        <v>0.8776549526935702</v>
      </c>
      <c r="F9" s="48">
        <f>БО!C8</f>
        <v>0.3515527576497861</v>
      </c>
      <c r="G9" s="48">
        <f>БО!D8</f>
        <v>1.5201681521659531</v>
      </c>
      <c r="H9" s="49">
        <f>F9/G9</f>
        <v>0.23125912560981474</v>
      </c>
      <c r="I9" s="49">
        <f aca="true" t="shared" si="0" ref="I9:I25">$H$25-H9</f>
        <v>2.0990729734981453</v>
      </c>
      <c r="J9" s="50">
        <f>IF(H9&gt;$H$25,0,($H$25-H9)*БО!D8*$E$9*ИНП!C9)</f>
        <v>2374.864452160425</v>
      </c>
      <c r="K9" s="51">
        <f aca="true" t="shared" si="1" ref="K9:K25">ROUND(J9*$K$4/$J$26,1)</f>
        <v>1662.4</v>
      </c>
      <c r="L9" s="52">
        <f>ROUND(K9*$D$6/$K$26,1)</f>
        <v>196.4</v>
      </c>
      <c r="M9" s="50">
        <f>H9+K9/(БО!D8*ИНП!C9*$E$9)</f>
        <v>1.7006056847234954</v>
      </c>
    </row>
    <row r="10" spans="1:13" ht="18.75" customHeight="1">
      <c r="A10" s="26" t="s">
        <v>101</v>
      </c>
      <c r="B10" s="21" t="str">
        <f>ИНП!B10</f>
        <v>СП Большекударинское </v>
      </c>
      <c r="C10" s="47">
        <f>ИНП!C10</f>
        <v>1891</v>
      </c>
      <c r="D10" s="116"/>
      <c r="E10" s="115"/>
      <c r="F10" s="48">
        <f>БО!C9</f>
        <v>0.5125987100874421</v>
      </c>
      <c r="G10" s="48">
        <f>БО!D9</f>
        <v>1.195599223799067</v>
      </c>
      <c r="H10" s="49">
        <f aca="true" t="shared" si="2" ref="H10:H25">F10/G10</f>
        <v>0.4287379080580515</v>
      </c>
      <c r="I10" s="49">
        <f t="shared" si="0"/>
        <v>1.9015941910499083</v>
      </c>
      <c r="J10" s="50">
        <f>IF(H10&gt;$H$25,0,($H$25-H10)*БО!D9*$E$9*ИНП!C10)</f>
        <v>3773.277998208069</v>
      </c>
      <c r="K10" s="51">
        <f t="shared" si="1"/>
        <v>2641.3</v>
      </c>
      <c r="L10" s="52">
        <f aca="true" t="shared" si="3" ref="L10:L25">ROUND(K10*$D$6/$K$26,1)</f>
        <v>312</v>
      </c>
      <c r="M10" s="50">
        <f>H10+K10/(БО!D9*ИНП!C10*$E$9)</f>
        <v>1.759856563827755</v>
      </c>
    </row>
    <row r="11" spans="1:13" ht="18.75">
      <c r="A11" s="26" t="s">
        <v>102</v>
      </c>
      <c r="B11" s="21" t="str">
        <f>ИНП!B11</f>
        <v>СП Большелугское </v>
      </c>
      <c r="C11" s="47">
        <f>ИНП!C11</f>
        <v>1038</v>
      </c>
      <c r="D11" s="116"/>
      <c r="E11" s="115"/>
      <c r="F11" s="48">
        <f>БО!C10</f>
        <v>0.40313706593511045</v>
      </c>
      <c r="G11" s="48">
        <f>БО!D10</f>
        <v>1.466530183009171</v>
      </c>
      <c r="H11" s="49">
        <f t="shared" si="2"/>
        <v>0.27489176193285986</v>
      </c>
      <c r="I11" s="49">
        <f t="shared" si="0"/>
        <v>2.0554403371751</v>
      </c>
      <c r="J11" s="50">
        <f>IF(H11&gt;$H$25,0,($H$25-H11)*БО!D10*$E$9*ИНП!C11)</f>
        <v>2746.104389283873</v>
      </c>
      <c r="K11" s="51">
        <f t="shared" si="1"/>
        <v>1922.3</v>
      </c>
      <c r="L11" s="52">
        <f t="shared" si="3"/>
        <v>227.1</v>
      </c>
      <c r="M11" s="50">
        <f>H11+K11/(БО!D10*ИНП!C11*$E$9)</f>
        <v>1.713720153005815</v>
      </c>
    </row>
    <row r="12" spans="1:13" ht="18.75">
      <c r="A12" s="26" t="s">
        <v>103</v>
      </c>
      <c r="B12" s="21" t="str">
        <f>ИНП!B12</f>
        <v>СП Зарянское </v>
      </c>
      <c r="C12" s="47">
        <f>ИНП!C12</f>
        <v>703</v>
      </c>
      <c r="D12" s="116"/>
      <c r="E12" s="115"/>
      <c r="F12" s="48">
        <f>БО!C11</f>
        <v>0.5310737308228775</v>
      </c>
      <c r="G12" s="48">
        <f>БО!D11</f>
        <v>1.8047939347284667</v>
      </c>
      <c r="H12" s="49">
        <f t="shared" si="2"/>
        <v>0.29425726705069966</v>
      </c>
      <c r="I12" s="49">
        <f t="shared" si="0"/>
        <v>2.03607483205726</v>
      </c>
      <c r="J12" s="50">
        <f>IF(H12&gt;$H$25,0,($H$25-H12)*БО!D11*$E$9*ИНП!C12)</f>
        <v>2267.255642425114</v>
      </c>
      <c r="K12" s="51">
        <f t="shared" si="1"/>
        <v>1587.1</v>
      </c>
      <c r="L12" s="52">
        <f t="shared" si="3"/>
        <v>187.5</v>
      </c>
      <c r="M12" s="50">
        <f>H12+K12/(БО!D11*ИНП!C12*$E$9)</f>
        <v>1.7195285533982916</v>
      </c>
    </row>
    <row r="13" spans="1:13" ht="18.75">
      <c r="A13" s="26" t="s">
        <v>104</v>
      </c>
      <c r="B13" s="21" t="str">
        <f>ИНП!B13</f>
        <v>СП Кударинское </v>
      </c>
      <c r="C13" s="47">
        <f>ИНП!C13</f>
        <v>1746</v>
      </c>
      <c r="D13" s="116"/>
      <c r="E13" s="115"/>
      <c r="F13" s="48">
        <f>БО!C12</f>
        <v>0.5804960372637056</v>
      </c>
      <c r="G13" s="48">
        <f>БО!D12</f>
        <v>1.0948423193463994</v>
      </c>
      <c r="H13" s="49">
        <f t="shared" si="2"/>
        <v>0.5302097178799692</v>
      </c>
      <c r="I13" s="49">
        <f t="shared" si="0"/>
        <v>1.8001223812279907</v>
      </c>
      <c r="J13" s="50">
        <f>IF(H13&gt;$H$25,0,($H$25-H13)*БО!D12*$E$9*ИНП!C13)</f>
        <v>3020.1023058335813</v>
      </c>
      <c r="K13" s="51">
        <f t="shared" si="1"/>
        <v>2114.1</v>
      </c>
      <c r="L13" s="52">
        <f t="shared" si="3"/>
        <v>249.7</v>
      </c>
      <c r="M13" s="50">
        <f>H13+K13/(БО!D12*ИНП!C13*$E$9)</f>
        <v>1.7903123040748754</v>
      </c>
    </row>
    <row r="14" spans="1:13" ht="18.75">
      <c r="A14" s="26" t="s">
        <v>105</v>
      </c>
      <c r="B14" s="21" t="str">
        <f>ИНП!B14</f>
        <v>СП Малокударинское </v>
      </c>
      <c r="C14" s="47">
        <f>ИНП!C14</f>
        <v>722</v>
      </c>
      <c r="D14" s="116"/>
      <c r="E14" s="115"/>
      <c r="F14" s="48">
        <f>БО!C13</f>
        <v>0.7476626125525471</v>
      </c>
      <c r="G14" s="48">
        <f>БО!D13</f>
        <v>2.0203691622902293</v>
      </c>
      <c r="H14" s="49">
        <f t="shared" si="2"/>
        <v>0.3700623759793578</v>
      </c>
      <c r="I14" s="49">
        <f t="shared" si="0"/>
        <v>1.9602697231286021</v>
      </c>
      <c r="J14" s="50">
        <f>IF(H14&gt;$H$25,0,($H$25-H14)*БО!D13*$E$9*ИНП!C14)</f>
        <v>2509.6177002501813</v>
      </c>
      <c r="K14" s="51">
        <f t="shared" si="1"/>
        <v>1756.7</v>
      </c>
      <c r="L14" s="52">
        <f t="shared" si="3"/>
        <v>207.5</v>
      </c>
      <c r="M14" s="50">
        <f>H14+K14/(БО!D13*ИНП!C14*$E$9)</f>
        <v>1.7422258821088874</v>
      </c>
    </row>
    <row r="15" spans="1:13" ht="20.25" customHeight="1">
      <c r="A15" s="26" t="s">
        <v>106</v>
      </c>
      <c r="B15" s="21" t="str">
        <f>ИНП!B15</f>
        <v>СП Мурочинское </v>
      </c>
      <c r="C15" s="47">
        <f>ИНП!C15</f>
        <v>755</v>
      </c>
      <c r="D15" s="116"/>
      <c r="E15" s="115"/>
      <c r="F15" s="48">
        <f>БО!C14</f>
        <v>0.18345852596831033</v>
      </c>
      <c r="G15" s="48">
        <f>БО!D14</f>
        <v>1.732999174213079</v>
      </c>
      <c r="H15" s="49">
        <f t="shared" si="2"/>
        <v>0.10586186577475737</v>
      </c>
      <c r="I15" s="49">
        <f t="shared" si="0"/>
        <v>2.2244702333332027</v>
      </c>
      <c r="J15" s="50">
        <f>IF(H15&gt;$H$25,0,($H$25-H15)*БО!D14*$E$9*ИНП!C15)</f>
        <v>2554.440045641986</v>
      </c>
      <c r="K15" s="51">
        <f t="shared" si="1"/>
        <v>1788.1</v>
      </c>
      <c r="L15" s="52">
        <f t="shared" si="3"/>
        <v>211.2</v>
      </c>
      <c r="M15" s="50">
        <f>H15+K15/(БО!D14*ИНП!C15*$E$9)</f>
        <v>1.6629840346857323</v>
      </c>
    </row>
    <row r="16" spans="1:13" ht="18.75">
      <c r="A16" s="26" t="s">
        <v>107</v>
      </c>
      <c r="B16" s="21" t="str">
        <f>ИНП!B16</f>
        <v>СП Первомайское </v>
      </c>
      <c r="C16" s="47">
        <f>ИНП!C16</f>
        <v>602</v>
      </c>
      <c r="D16" s="116"/>
      <c r="E16" s="115"/>
      <c r="F16" s="48">
        <f>БО!C15</f>
        <v>0.39578846631090453</v>
      </c>
      <c r="G16" s="48">
        <f>БО!D15</f>
        <v>1.9975660753795843</v>
      </c>
      <c r="H16" s="49">
        <f t="shared" si="2"/>
        <v>0.1981353564165308</v>
      </c>
      <c r="I16" s="49">
        <f t="shared" si="0"/>
        <v>2.1321967426914292</v>
      </c>
      <c r="J16" s="50">
        <f>IF(H16&gt;$H$25,0,($H$25-H16)*БО!D15*$E$9*ИНП!C16)</f>
        <v>2250.3430502437764</v>
      </c>
      <c r="K16" s="51">
        <f t="shared" si="1"/>
        <v>1575.2</v>
      </c>
      <c r="L16" s="52">
        <f t="shared" si="3"/>
        <v>186.1</v>
      </c>
      <c r="M16" s="50">
        <f>H16+K16/(БО!D15*ИНП!C16*$E$9)</f>
        <v>1.6906350482851566</v>
      </c>
    </row>
    <row r="17" spans="1:13" ht="18.75">
      <c r="A17" s="26" t="s">
        <v>108</v>
      </c>
      <c r="B17" s="21" t="str">
        <f>ИНП!B17</f>
        <v>СП Субуктуйское </v>
      </c>
      <c r="C17" s="47">
        <f>ИНП!C17</f>
        <v>502</v>
      </c>
      <c r="D17" s="116"/>
      <c r="E17" s="115"/>
      <c r="F17" s="48">
        <f>БО!C16</f>
        <v>0.23617628124194473</v>
      </c>
      <c r="G17" s="48">
        <f>БО!D16</f>
        <v>2.491317364303698</v>
      </c>
      <c r="H17" s="49">
        <f t="shared" si="2"/>
        <v>0.09479975719912104</v>
      </c>
      <c r="I17" s="49">
        <f t="shared" si="0"/>
        <v>2.235532341908839</v>
      </c>
      <c r="J17" s="50">
        <f>IF(H17&gt;$H$25,0,($H$25-H17)*БО!D16*$E$9*ИНП!C17)</f>
        <v>2453.7908201427626</v>
      </c>
      <c r="K17" s="51">
        <f t="shared" si="1"/>
        <v>1717.7</v>
      </c>
      <c r="L17" s="52">
        <f t="shared" si="3"/>
        <v>202.9</v>
      </c>
      <c r="M17" s="50">
        <f>H17+K17/(БО!D16*ИНП!C17*$E$9)</f>
        <v>1.6597146929691562</v>
      </c>
    </row>
    <row r="18" spans="1:13" ht="18.75">
      <c r="A18" s="26" t="s">
        <v>109</v>
      </c>
      <c r="B18" s="21" t="str">
        <f>ИНП!B18</f>
        <v>СП Тамирское </v>
      </c>
      <c r="C18" s="47">
        <f>ИНП!C18</f>
        <v>1416</v>
      </c>
      <c r="D18" s="116"/>
      <c r="E18" s="115"/>
      <c r="F18" s="48">
        <f>БО!C17</f>
        <v>0.7139862933550558</v>
      </c>
      <c r="G18" s="48">
        <f>БО!D17</f>
        <v>1.3051433691772738</v>
      </c>
      <c r="H18" s="49">
        <f t="shared" si="2"/>
        <v>0.5470558332646114</v>
      </c>
      <c r="I18" s="49">
        <f t="shared" si="0"/>
        <v>1.7832762658433485</v>
      </c>
      <c r="J18" s="50">
        <f>IF(H18&gt;$H$25,0,($H$25-H18)*БО!D17*$E$9*ИНП!C18)</f>
        <v>2892.4370242085724</v>
      </c>
      <c r="K18" s="51">
        <f t="shared" si="1"/>
        <v>2024.7</v>
      </c>
      <c r="L18" s="52">
        <f t="shared" si="3"/>
        <v>239.2</v>
      </c>
      <c r="M18" s="50">
        <f>H18+K18/(БО!D17*ИНП!C18*$E$9)</f>
        <v>1.7953455713760087</v>
      </c>
    </row>
    <row r="19" spans="1:13" ht="18.75">
      <c r="A19" s="26" t="s">
        <v>110</v>
      </c>
      <c r="B19" s="21" t="str">
        <f>ИНП!B19</f>
        <v>СП Усть-киранское </v>
      </c>
      <c r="C19" s="47">
        <f>ИНП!C19</f>
        <v>1819</v>
      </c>
      <c r="D19" s="116"/>
      <c r="E19" s="115"/>
      <c r="F19" s="48">
        <f>БО!C18</f>
        <v>0.3818521865133086</v>
      </c>
      <c r="G19" s="48">
        <f>БО!D18</f>
        <v>1.1532580967210062</v>
      </c>
      <c r="H19" s="49">
        <f t="shared" si="2"/>
        <v>0.3311073103228214</v>
      </c>
      <c r="I19" s="49">
        <f t="shared" si="0"/>
        <v>1.9992247887851384</v>
      </c>
      <c r="J19" s="50">
        <f>IF(H19&gt;$H$25,0,($H$25-H19)*БО!D18*$E$9*ИНП!C19)</f>
        <v>3680.8205711011</v>
      </c>
      <c r="K19" s="51">
        <f t="shared" si="1"/>
        <v>2576.6</v>
      </c>
      <c r="L19" s="52">
        <f>ROUND(K19*$D$6/$K$26,1)-0.1</f>
        <v>304.29999999999995</v>
      </c>
      <c r="M19" s="50">
        <f>H19+K19/(БО!D18*ИНП!C19*$E$9)</f>
        <v>1.730578567147174</v>
      </c>
    </row>
    <row r="20" spans="1:13" ht="18.75">
      <c r="A20" s="26" t="s">
        <v>111</v>
      </c>
      <c r="B20" s="21" t="str">
        <f>ИНП!B20</f>
        <v>СП Усть-Кяхтинское </v>
      </c>
      <c r="C20" s="47">
        <f>ИНП!C20</f>
        <v>2127</v>
      </c>
      <c r="D20" s="116"/>
      <c r="E20" s="115"/>
      <c r="F20" s="48">
        <f>БО!C19</f>
        <v>0.45440927227856825</v>
      </c>
      <c r="G20" s="48">
        <f>БО!D19</f>
        <v>0.9699960313021108</v>
      </c>
      <c r="H20" s="49">
        <f t="shared" si="2"/>
        <v>0.46846508399480236</v>
      </c>
      <c r="I20" s="49">
        <f t="shared" si="0"/>
        <v>1.8618670151131576</v>
      </c>
      <c r="J20" s="50">
        <f>IF(H20&gt;$H$25,0,($H$25-H20)*БО!D19*$E$9*ИНП!C20)</f>
        <v>3371.39713365121</v>
      </c>
      <c r="K20" s="51">
        <f t="shared" si="1"/>
        <v>2360</v>
      </c>
      <c r="L20" s="52">
        <f t="shared" si="3"/>
        <v>278.8</v>
      </c>
      <c r="M20" s="50">
        <f>H20+K20/(БО!D19*ИНП!C20*$E$9)</f>
        <v>1.7717841477173133</v>
      </c>
    </row>
    <row r="21" spans="1:13" ht="18.75">
      <c r="A21" s="26" t="s">
        <v>112</v>
      </c>
      <c r="B21" s="21" t="str">
        <f>ИНП!B21</f>
        <v>СП Хоронхойское </v>
      </c>
      <c r="C21" s="47">
        <f>ИНП!C21</f>
        <v>2211</v>
      </c>
      <c r="D21" s="116"/>
      <c r="E21" s="115"/>
      <c r="F21" s="48">
        <f>БО!C20</f>
        <v>0.33409496746775297</v>
      </c>
      <c r="G21" s="48">
        <f>БО!D20</f>
        <v>0.9561375885972426</v>
      </c>
      <c r="H21" s="49">
        <f t="shared" si="2"/>
        <v>0.3494214341660874</v>
      </c>
      <c r="I21" s="49">
        <f t="shared" si="0"/>
        <v>1.9809106649418724</v>
      </c>
      <c r="J21" s="50">
        <f>IF(H21&gt;$H$25,0,($H$25-H21)*БО!D20*$E$9*ИНП!C21)</f>
        <v>3675.3426356516998</v>
      </c>
      <c r="K21" s="51">
        <f t="shared" si="1"/>
        <v>2572.7</v>
      </c>
      <c r="L21" s="52">
        <f t="shared" si="3"/>
        <v>303.9</v>
      </c>
      <c r="M21" s="50">
        <f>H21+K21/(БО!D20*ИНП!C21*$E$9)</f>
        <v>1.7360374242674559</v>
      </c>
    </row>
    <row r="22" spans="1:13" ht="18.75">
      <c r="A22" s="26" t="s">
        <v>113</v>
      </c>
      <c r="B22" s="21" t="str">
        <f>ИНП!B22</f>
        <v>СП Чикойское </v>
      </c>
      <c r="C22" s="47">
        <f>ИНП!C22</f>
        <v>754</v>
      </c>
      <c r="D22" s="116"/>
      <c r="E22" s="115"/>
      <c r="F22" s="48">
        <f>БО!C21</f>
        <v>0.27808076646268537</v>
      </c>
      <c r="G22" s="48">
        <f>БО!D21</f>
        <v>1.634233054393194</v>
      </c>
      <c r="H22" s="49">
        <f t="shared" si="2"/>
        <v>0.1701597980258326</v>
      </c>
      <c r="I22" s="49">
        <f t="shared" si="0"/>
        <v>2.1601723010821274</v>
      </c>
      <c r="J22" s="50">
        <f>IF(H22&gt;$H$25,0,($H$25-H22)*БО!D21*$E$9*ИНП!C22)</f>
        <v>2336.1328545363594</v>
      </c>
      <c r="K22" s="51">
        <f t="shared" si="1"/>
        <v>1635.3</v>
      </c>
      <c r="L22" s="52">
        <f>ROUND(K22*$D$6/$K$26,1)-0.1</f>
        <v>193.1</v>
      </c>
      <c r="M22" s="50">
        <f>H22+K22/(БО!D21*ИНП!C22*$E$9)</f>
        <v>1.6822868832213733</v>
      </c>
    </row>
    <row r="23" spans="1:13" ht="18.75">
      <c r="A23" s="26" t="s">
        <v>114</v>
      </c>
      <c r="B23" s="21" t="str">
        <f>ИНП!B23</f>
        <v>СП Шарагольское </v>
      </c>
      <c r="C23" s="47">
        <f>ИНП!C23</f>
        <v>1027</v>
      </c>
      <c r="D23" s="116"/>
      <c r="E23" s="115"/>
      <c r="F23" s="48">
        <f>БО!C22</f>
        <v>0.45224657984215316</v>
      </c>
      <c r="G23" s="48">
        <f>БО!D22</f>
        <v>1.7012274467450308</v>
      </c>
      <c r="H23" s="49">
        <f t="shared" si="2"/>
        <v>0.2658354593957671</v>
      </c>
      <c r="I23" s="49">
        <f t="shared" si="0"/>
        <v>2.0644966397121927</v>
      </c>
      <c r="J23" s="50">
        <f>IF(H23&gt;$H$25,0,($H$25-H23)*БО!D22*$E$9*ИНП!C23)</f>
        <v>3165.707700626734</v>
      </c>
      <c r="K23" s="51">
        <f t="shared" si="1"/>
        <v>2216</v>
      </c>
      <c r="L23" s="52">
        <f t="shared" si="3"/>
        <v>261.8</v>
      </c>
      <c r="M23" s="50">
        <f>H23+K23/(БО!D22*ИНП!C23*$E$9)</f>
        <v>1.7109861132911008</v>
      </c>
    </row>
    <row r="24" spans="1:13" ht="18.75">
      <c r="A24" s="26" t="s">
        <v>133</v>
      </c>
      <c r="B24" s="21" t="str">
        <f>ИНП!B24</f>
        <v>ГП Город Кяхта </v>
      </c>
      <c r="C24" s="47">
        <f>ИНП!C24</f>
        <v>19359</v>
      </c>
      <c r="D24" s="116"/>
      <c r="E24" s="115"/>
      <c r="F24" s="48">
        <f>БО!C23</f>
        <v>1.3138841253707019</v>
      </c>
      <c r="G24" s="48">
        <f>БО!D23</f>
        <v>0.6977601837568188</v>
      </c>
      <c r="H24" s="49">
        <f t="shared" si="2"/>
        <v>1.8830024354450878</v>
      </c>
      <c r="I24" s="49">
        <f t="shared" si="0"/>
        <v>0.4473296636628721</v>
      </c>
      <c r="J24" s="50">
        <f>IF(H24&gt;$H$25,0,($H$25-H24)*БО!D23*$E$9*ИНП!C24)</f>
        <v>5303.231795897307</v>
      </c>
      <c r="K24" s="51">
        <f t="shared" si="1"/>
        <v>3712.3</v>
      </c>
      <c r="L24" s="52">
        <f t="shared" si="3"/>
        <v>438.5</v>
      </c>
      <c r="M24" s="50">
        <f>H24+K24/(БО!D23*ИНП!C24*$E$9)</f>
        <v>2.1961363836350145</v>
      </c>
    </row>
    <row r="25" spans="1:13" ht="19.5" customHeight="1">
      <c r="A25" s="26" t="s">
        <v>134</v>
      </c>
      <c r="B25" s="21" t="str">
        <f>ИНП!B25</f>
        <v>ГП Наушкинское </v>
      </c>
      <c r="C25" s="47">
        <f>ИНП!C25</f>
        <v>3912</v>
      </c>
      <c r="D25" s="116"/>
      <c r="E25" s="115"/>
      <c r="F25" s="48">
        <f>БО!C24</f>
        <v>1.994796532941226</v>
      </c>
      <c r="G25" s="48">
        <f>БО!D24</f>
        <v>0.8560138418489042</v>
      </c>
      <c r="H25" s="49">
        <f t="shared" si="2"/>
        <v>2.33033209910796</v>
      </c>
      <c r="I25" s="49">
        <f t="shared" si="0"/>
        <v>0</v>
      </c>
      <c r="J25" s="50">
        <f>IF(H25&gt;$H$25,0,($H$25-H25)*БО!D24*$E$9*ИНП!C25)</f>
        <v>0</v>
      </c>
      <c r="K25" s="51">
        <f t="shared" si="1"/>
        <v>0</v>
      </c>
      <c r="L25" s="52">
        <f t="shared" si="3"/>
        <v>0</v>
      </c>
      <c r="M25" s="50">
        <f>H25+K25/(БО!D24*ИНП!C25*$E$9)</f>
        <v>2.33033209910796</v>
      </c>
    </row>
    <row r="26" spans="1:13" ht="18.75">
      <c r="A26" s="104" t="s">
        <v>2</v>
      </c>
      <c r="B26" s="104"/>
      <c r="C26" s="34">
        <f>SUM(C9:C25)</f>
        <v>41432</v>
      </c>
      <c r="D26" s="29"/>
      <c r="E26" s="29"/>
      <c r="F26" s="29"/>
      <c r="G26" s="29"/>
      <c r="H26" s="30"/>
      <c r="I26" s="30"/>
      <c r="J26" s="23">
        <f>SUM(J9:J25)</f>
        <v>48374.86611986275</v>
      </c>
      <c r="K26" s="23">
        <f>SUM(K9:K25)</f>
        <v>33862.5</v>
      </c>
      <c r="L26" s="42">
        <f>SUM(L9:L25)</f>
        <v>4000</v>
      </c>
      <c r="M26" s="30"/>
    </row>
    <row r="28" spans="2:12" ht="20.25" customHeight="1">
      <c r="B28" s="33"/>
      <c r="C28" s="33"/>
      <c r="D28" s="112"/>
      <c r="E28" s="112"/>
      <c r="F28" s="112"/>
      <c r="G28" s="112"/>
      <c r="H28" s="112"/>
      <c r="I28" s="112"/>
      <c r="J28" s="112"/>
      <c r="K28" s="112"/>
      <c r="L28" s="41"/>
    </row>
    <row r="29" spans="1:13" s="15" customFormat="1" ht="21" customHeight="1">
      <c r="A29" s="1"/>
      <c r="B29" s="1"/>
      <c r="C29" s="35"/>
      <c r="D29" s="112"/>
      <c r="E29" s="112"/>
      <c r="F29" s="112"/>
      <c r="G29" s="112"/>
      <c r="H29" s="112"/>
      <c r="I29" s="112"/>
      <c r="J29" s="112"/>
      <c r="K29" s="112"/>
      <c r="L29" s="41"/>
      <c r="M29" s="1"/>
    </row>
  </sheetData>
  <sheetProtection/>
  <mergeCells count="6">
    <mergeCell ref="D28:K28"/>
    <mergeCell ref="D29:K29"/>
    <mergeCell ref="A1:M2"/>
    <mergeCell ref="E9:E25"/>
    <mergeCell ref="A26:B26"/>
    <mergeCell ref="D9:D25"/>
  </mergeCells>
  <printOptions/>
  <pageMargins left="0.4724409448818898" right="0.03937007874015748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6.7109375" style="0" customWidth="1"/>
    <col min="2" max="2" width="45.421875" style="0" customWidth="1"/>
    <col min="3" max="3" width="23.140625" style="0" customWidth="1"/>
    <col min="4" max="4" width="28.421875" style="0" customWidth="1"/>
    <col min="5" max="5" width="29.28125" style="0" customWidth="1"/>
    <col min="6" max="6" width="23.7109375" style="0" customWidth="1"/>
    <col min="7" max="7" width="17.140625" style="0" customWidth="1"/>
    <col min="8" max="8" width="19.57421875" style="0" customWidth="1"/>
  </cols>
  <sheetData>
    <row r="3" spans="1:8" ht="12.75">
      <c r="A3" s="117" t="s">
        <v>151</v>
      </c>
      <c r="B3" s="117"/>
      <c r="C3" s="117"/>
      <c r="D3" s="117"/>
      <c r="E3" s="117"/>
      <c r="F3" s="117"/>
      <c r="G3" s="117"/>
      <c r="H3" s="117"/>
    </row>
    <row r="4" spans="1:8" ht="12.75">
      <c r="A4" s="117"/>
      <c r="B4" s="117"/>
      <c r="C4" s="117"/>
      <c r="D4" s="117"/>
      <c r="E4" s="117"/>
      <c r="F4" s="117"/>
      <c r="G4" s="117"/>
      <c r="H4" s="117"/>
    </row>
    <row r="5" spans="1:8" ht="12.75">
      <c r="A5" s="117"/>
      <c r="B5" s="117"/>
      <c r="C5" s="117"/>
      <c r="D5" s="117"/>
      <c r="E5" s="117"/>
      <c r="F5" s="117"/>
      <c r="G5" s="117"/>
      <c r="H5" s="117"/>
    </row>
    <row r="6" ht="13.5" thickBot="1"/>
    <row r="7" spans="1:8" ht="39" customHeight="1">
      <c r="A7" s="118" t="s">
        <v>3</v>
      </c>
      <c r="B7" s="120" t="s">
        <v>0</v>
      </c>
      <c r="C7" s="122" t="s">
        <v>143</v>
      </c>
      <c r="D7" s="58" t="s">
        <v>144</v>
      </c>
      <c r="E7" s="58" t="s">
        <v>145</v>
      </c>
      <c r="F7" s="122" t="s">
        <v>146</v>
      </c>
      <c r="G7" s="122" t="s">
        <v>147</v>
      </c>
      <c r="H7" s="124" t="s">
        <v>148</v>
      </c>
    </row>
    <row r="8" spans="1:8" ht="12.75">
      <c r="A8" s="119"/>
      <c r="B8" s="121"/>
      <c r="C8" s="123"/>
      <c r="D8" s="59" t="s">
        <v>149</v>
      </c>
      <c r="E8" s="59" t="s">
        <v>149</v>
      </c>
      <c r="F8" s="123"/>
      <c r="G8" s="123"/>
      <c r="H8" s="125"/>
    </row>
    <row r="9" spans="1:8" ht="12.75">
      <c r="A9" s="60">
        <v>1</v>
      </c>
      <c r="B9" s="61">
        <v>2</v>
      </c>
      <c r="C9" s="62">
        <v>3</v>
      </c>
      <c r="D9" s="62">
        <v>4</v>
      </c>
      <c r="E9" s="62">
        <v>5</v>
      </c>
      <c r="F9" s="62">
        <v>6</v>
      </c>
      <c r="G9" s="63">
        <v>7</v>
      </c>
      <c r="H9" s="64">
        <v>8</v>
      </c>
    </row>
    <row r="10" spans="1:8" ht="12.75">
      <c r="A10" s="65">
        <v>1</v>
      </c>
      <c r="B10" s="66" t="s">
        <v>152</v>
      </c>
      <c r="C10" s="67" t="s">
        <v>150</v>
      </c>
      <c r="D10" s="68">
        <v>170.2</v>
      </c>
      <c r="E10" s="68">
        <v>227.1</v>
      </c>
      <c r="F10" s="68"/>
      <c r="G10" s="68"/>
      <c r="H10" s="69"/>
    </row>
    <row r="11" spans="1:8" ht="12.75">
      <c r="A11" s="70"/>
      <c r="B11" s="71" t="s">
        <v>153</v>
      </c>
      <c r="C11" s="67"/>
      <c r="D11" s="68">
        <v>155</v>
      </c>
      <c r="E11" s="68">
        <v>0</v>
      </c>
      <c r="F11" s="68"/>
      <c r="G11" s="68"/>
      <c r="H11" s="69"/>
    </row>
    <row r="12" spans="1:8" ht="12.75">
      <c r="A12" s="72"/>
      <c r="B12" s="73" t="s">
        <v>154</v>
      </c>
      <c r="C12" s="74"/>
      <c r="D12" s="74">
        <f>SUM(D10:D11)</f>
        <v>325.2</v>
      </c>
      <c r="E12" s="74">
        <f>SUM(E10:E11)</f>
        <v>227.1</v>
      </c>
      <c r="F12" s="74">
        <f>IF(D12-E12&gt;0,D12-E12,0)</f>
        <v>98.1</v>
      </c>
      <c r="G12" s="74">
        <v>469.5</v>
      </c>
      <c r="H12" s="75">
        <f>F12+G12</f>
        <v>567.6</v>
      </c>
    </row>
    <row r="13" spans="1:8" ht="12.75">
      <c r="A13" s="65">
        <v>2</v>
      </c>
      <c r="B13" s="66" t="s">
        <v>155</v>
      </c>
      <c r="C13" s="67" t="s">
        <v>150</v>
      </c>
      <c r="D13" s="68">
        <v>195.3</v>
      </c>
      <c r="E13" s="68">
        <v>239.2</v>
      </c>
      <c r="F13" s="68"/>
      <c r="G13" s="68"/>
      <c r="H13" s="69"/>
    </row>
    <row r="14" spans="1:8" ht="12.75">
      <c r="A14" s="76"/>
      <c r="B14" s="71" t="s">
        <v>156</v>
      </c>
      <c r="C14" s="67"/>
      <c r="D14" s="68">
        <f>142.9+0.1</f>
        <v>143</v>
      </c>
      <c r="E14" s="68">
        <v>0</v>
      </c>
      <c r="F14" s="68"/>
      <c r="G14" s="68"/>
      <c r="H14" s="69"/>
    </row>
    <row r="15" spans="1:8" ht="12.75">
      <c r="A15" s="72"/>
      <c r="B15" s="73" t="s">
        <v>157</v>
      </c>
      <c r="C15" s="74"/>
      <c r="D15" s="74">
        <f>SUM(D13:D14)</f>
        <v>338.3</v>
      </c>
      <c r="E15" s="74">
        <f>SUM(E13:E14)</f>
        <v>239.2</v>
      </c>
      <c r="F15" s="74">
        <f>IF(D15-E15&gt;0,D15-E15,0)</f>
        <v>99.10000000000002</v>
      </c>
      <c r="G15" s="74">
        <v>643</v>
      </c>
      <c r="H15" s="75">
        <f>F15+G15</f>
        <v>742.1</v>
      </c>
    </row>
    <row r="16" spans="1:8" ht="16.5" thickBot="1">
      <c r="A16" s="77" t="s">
        <v>2</v>
      </c>
      <c r="B16" s="78"/>
      <c r="C16" s="79"/>
      <c r="D16" s="80">
        <f>D12+D15</f>
        <v>663.5</v>
      </c>
      <c r="E16" s="80">
        <f>E12+E15</f>
        <v>466.29999999999995</v>
      </c>
      <c r="F16" s="80">
        <f>F12+F15</f>
        <v>197.20000000000002</v>
      </c>
      <c r="G16" s="80">
        <f>G12+G15</f>
        <v>1112.5</v>
      </c>
      <c r="H16" s="81">
        <f>H12+H15</f>
        <v>1309.7</v>
      </c>
    </row>
    <row r="19" spans="6:8" ht="12.75">
      <c r="F19">
        <f>F12*0.6</f>
        <v>58.85999999999999</v>
      </c>
      <c r="G19">
        <v>39.2</v>
      </c>
      <c r="H19">
        <v>19.6</v>
      </c>
    </row>
    <row r="20" spans="6:8" ht="12.75">
      <c r="F20">
        <f>F15*0.6</f>
        <v>59.46000000000001</v>
      </c>
      <c r="G20">
        <v>39.7</v>
      </c>
      <c r="H20">
        <v>19.8</v>
      </c>
    </row>
    <row r="21" spans="6:8" ht="12.75">
      <c r="F21">
        <f>F19+F20</f>
        <v>118.32</v>
      </c>
      <c r="G21">
        <f>G19+G20</f>
        <v>78.9</v>
      </c>
      <c r="H21">
        <f>H19+H20</f>
        <v>39.400000000000006</v>
      </c>
    </row>
  </sheetData>
  <sheetProtection/>
  <mergeCells count="7">
    <mergeCell ref="A3:H5"/>
    <mergeCell ref="A7:A8"/>
    <mergeCell ref="B7:B8"/>
    <mergeCell ref="C7:C8"/>
    <mergeCell ref="F7:F8"/>
    <mergeCell ref="G7:G8"/>
    <mergeCell ref="H7:H8"/>
  </mergeCells>
  <conditionalFormatting sqref="F10:F11 F13:F14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2011-08-24T01:17:19Z</cp:lastPrinted>
  <dcterms:created xsi:type="dcterms:W3CDTF">1996-10-08T23:32:33Z</dcterms:created>
  <dcterms:modified xsi:type="dcterms:W3CDTF">2014-02-10T11:23:00Z</dcterms:modified>
  <cp:category/>
  <cp:version/>
  <cp:contentType/>
  <cp:contentStatus/>
</cp:coreProperties>
</file>