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56" windowWidth="14988" windowHeight="11640" tabRatio="917" activeTab="0"/>
  </bookViews>
  <sheets>
    <sheet name="смета расходов тепло" sheetId="1" r:id="rId1"/>
    <sheet name="смета расходов на ХВС" sheetId="2" r:id="rId2"/>
    <sheet name="смета расходов на ВО (ВО и ОСВ)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<sst xmlns="http://schemas.openxmlformats.org/spreadsheetml/2006/main" count="390" uniqueCount="144">
  <si>
    <t>Необходимая валовая выручка</t>
  </si>
  <si>
    <t>Наименование организации коммунального комплекса</t>
  </si>
  <si>
    <t>Выработка тепловой энергии</t>
  </si>
  <si>
    <t>Собственные нужды</t>
  </si>
  <si>
    <t>Покупка тепловой энергии</t>
  </si>
  <si>
    <t>Отпущено в сеть</t>
  </si>
  <si>
    <t>Потери в сетях</t>
  </si>
  <si>
    <t>%</t>
  </si>
  <si>
    <t>Проверка</t>
  </si>
  <si>
    <t>Полезный отпуск тепловой энергии</t>
  </si>
  <si>
    <t>Вода на технологические цели</t>
  </si>
  <si>
    <t>Вспомогательные материалы</t>
  </si>
  <si>
    <t>Работы и услуги производственного характера</t>
  </si>
  <si>
    <t>Топливо на технологические цели</t>
  </si>
  <si>
    <t>Энергия на технологические цели</t>
  </si>
  <si>
    <t>ФОТ</t>
  </si>
  <si>
    <t>Страховые взносы</t>
  </si>
  <si>
    <t>Амортизация основных средств</t>
  </si>
  <si>
    <t>Цеховые расходы</t>
  </si>
  <si>
    <t>Общехозяйственные расходы</t>
  </si>
  <si>
    <t>Избыток средств</t>
  </si>
  <si>
    <t>Выпадающие доходы</t>
  </si>
  <si>
    <t>Итого затрат</t>
  </si>
  <si>
    <t>Прибыль</t>
  </si>
  <si>
    <t>Тарифы на тепловую энергию</t>
  </si>
  <si>
    <t>Система налогообложения</t>
  </si>
  <si>
    <t>Справочно: затраты на ремонт (вспомогательные материалы, работы и услуги производственного характера (если заложены в данную статью), амортизация, арендная плата, прибыль на развитие производства)</t>
  </si>
  <si>
    <t>Всего</t>
  </si>
  <si>
    <t>население</t>
  </si>
  <si>
    <t>бюджетные учреждения</t>
  </si>
  <si>
    <t>прочие</t>
  </si>
  <si>
    <t>в т.ч. на ремонтные работы (подрядный ремонт, транспортные расходы при проведении ремонтных работ)</t>
  </si>
  <si>
    <t>Всего на топливо</t>
  </si>
  <si>
    <t>Итого каменный уголь</t>
  </si>
  <si>
    <t>Выработка на каменном угле</t>
  </si>
  <si>
    <t>удельная норма расхода топлива (каменный уголь)</t>
  </si>
  <si>
    <t>расход условного топлива</t>
  </si>
  <si>
    <t>низшая теплота сгорания</t>
  </si>
  <si>
    <t>переводной коэффициент</t>
  </si>
  <si>
    <t>расход натурального топлива</t>
  </si>
  <si>
    <t>стоимость топлива по договору</t>
  </si>
  <si>
    <t>индекс дефлятор на топливо</t>
  </si>
  <si>
    <t xml:space="preserve">стоимость 1 тонны топлива </t>
  </si>
  <si>
    <t>Итого бурый уголь</t>
  </si>
  <si>
    <t>Выработка на буром угле</t>
  </si>
  <si>
    <t>удельная норма расхода топлива (бурый уголь)</t>
  </si>
  <si>
    <t>Итого мазут</t>
  </si>
  <si>
    <t>Выработка на мазуте</t>
  </si>
  <si>
    <t>удельная норма расхода топлива</t>
  </si>
  <si>
    <t>Итого дрова</t>
  </si>
  <si>
    <t>Выработка на дровах</t>
  </si>
  <si>
    <t>Всего на энергию</t>
  </si>
  <si>
    <t>Итого на электроэнергию</t>
  </si>
  <si>
    <t>удельная норма расхода э/э</t>
  </si>
  <si>
    <t>объем э/э</t>
  </si>
  <si>
    <t xml:space="preserve">стоимость э/э </t>
  </si>
  <si>
    <t>индекс-дефлятор на э/э</t>
  </si>
  <si>
    <t>стоимость э/э с индексом-дефлятором</t>
  </si>
  <si>
    <t>Итого на покупку тепловой энергии</t>
  </si>
  <si>
    <t>объем покупной тепловой энергии</t>
  </si>
  <si>
    <t>тариф покупки</t>
  </si>
  <si>
    <t>Всего общехозяйственные расходы</t>
  </si>
  <si>
    <t>арендная плата</t>
  </si>
  <si>
    <t>другие расходы</t>
  </si>
  <si>
    <t>Всего прибыль</t>
  </si>
  <si>
    <t>на развитие производства</t>
  </si>
  <si>
    <t>на социальные выплаты</t>
  </si>
  <si>
    <t>единый налог, налог на имущество</t>
  </si>
  <si>
    <t>прочие (услуги банка)</t>
  </si>
  <si>
    <t>НДС</t>
  </si>
  <si>
    <t>УСНО</t>
  </si>
  <si>
    <t>Закаменский район</t>
  </si>
  <si>
    <t>Иволгинский район</t>
  </si>
  <si>
    <t>ООО "Уда-Теплоснаб"</t>
  </si>
  <si>
    <t>Кяхтинский район</t>
  </si>
  <si>
    <t>ООО "Импульс"</t>
  </si>
  <si>
    <t>ООО "Ритм"</t>
  </si>
  <si>
    <t>ООО "Коммунальщик"</t>
  </si>
  <si>
    <t>ФОТ АУП без ЕСН</t>
  </si>
  <si>
    <t>Среднегодовой тариф на тепловую энергию</t>
  </si>
  <si>
    <t>Поднято воды</t>
  </si>
  <si>
    <t>Собственные технологические нужды</t>
  </si>
  <si>
    <t>Покупка воды</t>
  </si>
  <si>
    <t>Полезный отпуск воды</t>
  </si>
  <si>
    <t>Текущий ремонт</t>
  </si>
  <si>
    <t>Капитальный ремонт</t>
  </si>
  <si>
    <t>Арендная плата (концессионная плата)</t>
  </si>
  <si>
    <t xml:space="preserve">Прочие прямые </t>
  </si>
  <si>
    <t>Покупная вода</t>
  </si>
  <si>
    <t>Услуги по транспортированию воды</t>
  </si>
  <si>
    <t>Тарифы на холодную воду</t>
  </si>
  <si>
    <t>Реквизиты приказа РСТ РБ</t>
  </si>
  <si>
    <t>всего</t>
  </si>
  <si>
    <t>в том числе на ремонт</t>
  </si>
  <si>
    <t>с 01.01 по 30.06</t>
  </si>
  <si>
    <t>ПУЖКХ "Закаменское"</t>
  </si>
  <si>
    <t>ИП "Ринчинов"</t>
  </si>
  <si>
    <t>ООО "Спектр"</t>
  </si>
  <si>
    <t>ООО "Теплоцентраль-1"</t>
  </si>
  <si>
    <t>ОАО "Славянка"</t>
  </si>
  <si>
    <t>с 01.07 по 31.12</t>
  </si>
  <si>
    <t xml:space="preserve">Реквизиты Приказа РСТ РБ </t>
  </si>
  <si>
    <t>Пропущено сточных вод</t>
  </si>
  <si>
    <t>Прочие прямые затраты</t>
  </si>
  <si>
    <t>Услуги по транспортированию стоков и очистке сточных вод</t>
  </si>
  <si>
    <t>Тарифы на водоотведение</t>
  </si>
  <si>
    <t>в т.ч. на ремонтные работы</t>
  </si>
  <si>
    <t>ООО "Наушкинская энергосбытовая компания"</t>
  </si>
  <si>
    <t>АУСО РБ "Кяхтинский ПНИ"</t>
  </si>
  <si>
    <t>ООО "Тепловой Комплекс"</t>
  </si>
  <si>
    <t>прочие (услуги банка), концессионное соглашение</t>
  </si>
  <si>
    <t xml:space="preserve">прочие (услуги банка) </t>
  </si>
  <si>
    <t>1 полугодие 2014 года</t>
  </si>
  <si>
    <t>2 полугодие 2014 года</t>
  </si>
  <si>
    <t>от 31.10.2013 №3/52</t>
  </si>
  <si>
    <t>от 26.09.2013 №3/31</t>
  </si>
  <si>
    <t>Арендная плата (Концессионная плата)</t>
  </si>
  <si>
    <t>Анализ тарифов на услуги холодного водоснабжения по статьям затрат, утвержденным Республиканской службой по тарифам на 2014 год</t>
  </si>
  <si>
    <t>Итого газ</t>
  </si>
  <si>
    <t>Выработка на газе</t>
  </si>
  <si>
    <t>Итого дизтопливо</t>
  </si>
  <si>
    <t>Выработка на дизтопливе</t>
  </si>
  <si>
    <t>Анализ тарифов на услуги водоотведения  по статьям затрат, утвержденным Республиканской службой по тарифам на 2014 год</t>
  </si>
  <si>
    <t>Анализ тарифов на тепловую энергию по статьям затрат, утвержденных Республиканской службой по тарифам на 2014 год</t>
  </si>
  <si>
    <t>Установленные тарифы на 2014 год</t>
  </si>
  <si>
    <t>Аренда имущества</t>
  </si>
  <si>
    <t>расход м3</t>
  </si>
  <si>
    <t>АУСО РБ "Кяхтинский психоневрологический интернат"</t>
  </si>
  <si>
    <t xml:space="preserve">ООО "Коммунальщик" СП "Хоронхойское" </t>
  </si>
  <si>
    <t>ООО "Коммунальщик" СП "Хоронхойское"</t>
  </si>
  <si>
    <t>от 07.11.2013 № 2/52</t>
  </si>
  <si>
    <t>от 31.10.2013 № 2/46</t>
  </si>
  <si>
    <t>от 07.11.2013 № 2/53</t>
  </si>
  <si>
    <t>от 31.10.2013 № 2/44</t>
  </si>
  <si>
    <t>от 31.10.2013 № 2/43</t>
  </si>
  <si>
    <t>от 31.10.2013 № 2/45</t>
  </si>
  <si>
    <t>31.10.2013 №3/58</t>
  </si>
  <si>
    <t>31.10.2013 №3/60</t>
  </si>
  <si>
    <t>26.11.2013 №3/104</t>
  </si>
  <si>
    <t>31.10.2013 №3/59</t>
  </si>
  <si>
    <t>21.11.2013 №3/104</t>
  </si>
  <si>
    <t>ОАО "Славянка" МО ГП "Город Кяхта"</t>
  </si>
  <si>
    <t>ОАО "Славянка" МО ГП "Наушкинское"</t>
  </si>
  <si>
    <t>от 28.11.2013 №3/123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</si>
</sst>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%"/>
    <numFmt numFmtId="166" formatCode="#,##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b/>
      <i/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 shrinkToFit="1"/>
    </xf>
    <xf numFmtId="4" fontId="5" fillId="33" borderId="10" xfId="0" applyNumberFormat="1" applyFont="1" applyFill="1" applyBorder="1" applyAlignment="1">
      <alignment horizontal="center" vertical="center" wrapText="1" shrinkToFit="1"/>
    </xf>
    <xf numFmtId="1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 shrinkToFit="1"/>
    </xf>
    <xf numFmtId="4" fontId="4" fillId="0" borderId="10" xfId="0" applyNumberFormat="1" applyFont="1" applyFill="1" applyBorder="1" applyAlignment="1">
      <alignment horizontal="center" vertical="center" wrapText="1" shrinkToFit="1"/>
    </xf>
    <xf numFmtId="10" fontId="4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9" fontId="3" fillId="0" borderId="12" xfId="58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 shrinkToFit="1"/>
    </xf>
    <xf numFmtId="4" fontId="4" fillId="0" borderId="0" xfId="0" applyNumberFormat="1" applyFont="1" applyFill="1" applyAlignment="1">
      <alignment horizontal="center" vertical="center" wrapText="1" shrinkToFit="1"/>
    </xf>
    <xf numFmtId="10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0" fontId="3" fillId="0" borderId="0" xfId="0" applyNumberFormat="1" applyFont="1" applyFill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164" fontId="8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 wrapText="1" shrinkToFit="1"/>
    </xf>
    <xf numFmtId="4" fontId="9" fillId="0" borderId="10" xfId="0" applyNumberFormat="1" applyFont="1" applyBorder="1" applyAlignment="1">
      <alignment horizontal="center" vertical="center" wrapText="1" shrinkToFit="1"/>
    </xf>
    <xf numFmtId="10" fontId="9" fillId="0" borderId="10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 shrinkToFit="1"/>
    </xf>
    <xf numFmtId="4" fontId="9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4" fontId="12" fillId="34" borderId="10" xfId="0" applyNumberFormat="1" applyFont="1" applyFill="1" applyBorder="1" applyAlignment="1">
      <alignment horizontal="center" vertical="center" wrapText="1" shrinkToFit="1"/>
    </xf>
    <xf numFmtId="4" fontId="8" fillId="34" borderId="10" xfId="0" applyNumberFormat="1" applyFont="1" applyFill="1" applyBorder="1" applyAlignment="1">
      <alignment horizontal="center" vertical="center" wrapText="1" shrinkToFit="1"/>
    </xf>
    <xf numFmtId="4" fontId="9" fillId="34" borderId="10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 shrinkToFit="1"/>
    </xf>
    <xf numFmtId="10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10" fontId="8" fillId="0" borderId="1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11" fillId="34" borderId="13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 shrinkToFit="1"/>
    </xf>
    <xf numFmtId="10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vertical="center" wrapText="1"/>
      <protection/>
    </xf>
    <xf numFmtId="4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 shrinkToFit="1"/>
    </xf>
    <xf numFmtId="4" fontId="9" fillId="0" borderId="0" xfId="0" applyNumberFormat="1" applyFont="1" applyAlignment="1">
      <alignment horizontal="center" vertical="center" wrapText="1" shrinkToFit="1"/>
    </xf>
    <xf numFmtId="10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0" fontId="8" fillId="0" borderId="0" xfId="0" applyNumberFormat="1" applyFont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vertical="center" wrapText="1"/>
    </xf>
    <xf numFmtId="3" fontId="11" fillId="34" borderId="10" xfId="0" applyNumberFormat="1" applyFont="1" applyFill="1" applyBorder="1" applyAlignment="1">
      <alignment horizontal="center" vertical="center" wrapText="1"/>
    </xf>
    <xf numFmtId="4" fontId="11" fillId="34" borderId="12" xfId="0" applyNumberFormat="1" applyFont="1" applyFill="1" applyBorder="1" applyAlignment="1">
      <alignment horizontal="center" vertical="center" wrapText="1"/>
    </xf>
    <xf numFmtId="4" fontId="8" fillId="34" borderId="0" xfId="0" applyNumberFormat="1" applyFont="1" applyFill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horizontal="center" vertical="center" wrapText="1"/>
    </xf>
    <xf numFmtId="164" fontId="4" fillId="0" borderId="10" xfId="0" applyNumberFormat="1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 shrinkToFit="1"/>
    </xf>
    <xf numFmtId="10" fontId="9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 shrinkToFit="1"/>
    </xf>
    <xf numFmtId="4" fontId="15" fillId="0" borderId="10" xfId="0" applyNumberFormat="1" applyFont="1" applyFill="1" applyBorder="1" applyAlignment="1">
      <alignment horizontal="center" vertical="center" wrapText="1" shrinkToFit="1"/>
    </xf>
    <xf numFmtId="4" fontId="15" fillId="0" borderId="10" xfId="0" applyNumberFormat="1" applyFont="1" applyFill="1" applyBorder="1" applyAlignment="1">
      <alignment horizontal="center" vertical="center" wrapText="1"/>
    </xf>
    <xf numFmtId="167" fontId="17" fillId="0" borderId="15" xfId="0" applyNumberFormat="1" applyFont="1" applyFill="1" applyBorder="1" applyAlignment="1">
      <alignment horizontal="center" wrapText="1"/>
    </xf>
    <xf numFmtId="167" fontId="17" fillId="0" borderId="10" xfId="0" applyNumberFormat="1" applyFont="1" applyFill="1" applyBorder="1" applyAlignment="1">
      <alignment horizont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 shrinkToFi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 wrapText="1" shrinkToFit="1"/>
    </xf>
    <xf numFmtId="4" fontId="6" fillId="35" borderId="10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 shrinkToFit="1"/>
    </xf>
    <xf numFmtId="10" fontId="4" fillId="0" borderId="10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 shrinkToFit="1"/>
    </xf>
    <xf numFmtId="4" fontId="3" fillId="0" borderId="11" xfId="0" applyNumberFormat="1" applyFont="1" applyFill="1" applyBorder="1" applyAlignment="1">
      <alignment horizontal="center" vertical="center" wrapText="1" shrinkToFi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 shrinkToFit="1"/>
    </xf>
    <xf numFmtId="10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 shrinkToFit="1"/>
    </xf>
    <xf numFmtId="4" fontId="7" fillId="0" borderId="16" xfId="0" applyNumberFormat="1" applyFont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 shrinkToFit="1"/>
    </xf>
    <xf numFmtId="10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9" fontId="3" fillId="0" borderId="0" xfId="58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DL20"/>
  <sheetViews>
    <sheetView tabSelected="1" zoomScale="70" zoomScaleNormal="7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16" sqref="F16"/>
    </sheetView>
  </sheetViews>
  <sheetFormatPr defaultColWidth="32.7109375" defaultRowHeight="15" outlineLevelCol="1"/>
  <cols>
    <col min="1" max="1" width="5.8515625" style="29" customWidth="1"/>
    <col min="2" max="2" width="30.57421875" style="30" customWidth="1"/>
    <col min="3" max="3" width="14.8515625" style="31" customWidth="1" outlineLevel="1"/>
    <col min="4" max="4" width="12.8515625" style="31" customWidth="1" outlineLevel="1"/>
    <col min="5" max="6" width="10.8515625" style="31" customWidth="1" outlineLevel="1"/>
    <col min="7" max="7" width="13.7109375" style="32" customWidth="1" outlineLevel="1"/>
    <col min="8" max="8" width="10.8515625" style="31" customWidth="1" outlineLevel="1"/>
    <col min="9" max="9" width="9.421875" style="33" customWidth="1" outlineLevel="1"/>
    <col min="10" max="10" width="13.421875" style="34" customWidth="1" outlineLevel="1"/>
    <col min="11" max="11" width="12.421875" style="34" customWidth="1" outlineLevel="1"/>
    <col min="12" max="12" width="13.57421875" style="1" customWidth="1" outlineLevel="1"/>
    <col min="13" max="13" width="13.140625" style="1" customWidth="1" outlineLevel="1"/>
    <col min="14" max="14" width="12.421875" style="1" customWidth="1" outlineLevel="1"/>
    <col min="15" max="17" width="10.8515625" style="1" customWidth="1"/>
    <col min="18" max="18" width="15.140625" style="1" customWidth="1"/>
    <col min="19" max="19" width="13.140625" style="112" customWidth="1"/>
    <col min="20" max="20" width="11.7109375" style="34" customWidth="1"/>
    <col min="21" max="21" width="12.7109375" style="34" customWidth="1" outlineLevel="1"/>
    <col min="22" max="22" width="11.57421875" style="1" customWidth="1" outlineLevel="1"/>
    <col min="23" max="23" width="11.57421875" style="34" customWidth="1" outlineLevel="1"/>
    <col min="24" max="24" width="11.57421875" style="1" customWidth="1" outlineLevel="1"/>
    <col min="25" max="26" width="11.57421875" style="34" customWidth="1" outlineLevel="1"/>
    <col min="27" max="27" width="11.57421875" style="1" customWidth="1" outlineLevel="1"/>
    <col min="28" max="28" width="11.57421875" style="35" customWidth="1" outlineLevel="1"/>
    <col min="29" max="29" width="11.57421875" style="34" customWidth="1" outlineLevel="1"/>
    <col min="30" max="30" width="11.57421875" style="34" customWidth="1"/>
    <col min="31" max="32" width="11.57421875" style="1" customWidth="1" outlineLevel="1"/>
    <col min="33" max="33" width="11.57421875" style="34" customWidth="1" outlineLevel="1"/>
    <col min="34" max="34" width="11.57421875" style="96" customWidth="1" outlineLevel="1"/>
    <col min="35" max="35" width="11.57421875" style="99" customWidth="1" outlineLevel="1"/>
    <col min="36" max="36" width="11.57421875" style="34" customWidth="1" outlineLevel="1"/>
    <col min="37" max="37" width="11.57421875" style="1" customWidth="1" outlineLevel="1"/>
    <col min="38" max="38" width="11.57421875" style="35" customWidth="1" outlineLevel="1"/>
    <col min="39" max="39" width="11.57421875" style="34" customWidth="1" outlineLevel="1"/>
    <col min="40" max="40" width="13.140625" style="34" customWidth="1"/>
    <col min="41" max="41" width="12.7109375" style="34" customWidth="1" outlineLevel="1"/>
    <col min="42" max="49" width="11.57421875" style="34" customWidth="1" outlineLevel="1"/>
    <col min="50" max="50" width="11.57421875" style="34" customWidth="1"/>
    <col min="51" max="60" width="11.57421875" style="1" customWidth="1" outlineLevel="1"/>
    <col min="61" max="61" width="11.57421875" style="1" customWidth="1"/>
    <col min="62" max="70" width="11.57421875" style="1" customWidth="1" outlineLevel="1"/>
    <col min="71" max="71" width="11.57421875" style="1" customWidth="1"/>
    <col min="72" max="80" width="11.57421875" style="1" customWidth="1" outlineLevel="1"/>
    <col min="81" max="81" width="13.140625" style="112" customWidth="1"/>
    <col min="82" max="82" width="11.57421875" style="34" customWidth="1" outlineLevel="1"/>
    <col min="83" max="83" width="11.57421875" style="1" customWidth="1" outlineLevel="1"/>
    <col min="84" max="84" width="11.57421875" style="34" customWidth="1" outlineLevel="1"/>
    <col min="85" max="85" width="11.57421875" style="1" customWidth="1" outlineLevel="1"/>
    <col min="86" max="86" width="11.57421875" style="35" customWidth="1" outlineLevel="1"/>
    <col min="87" max="87" width="11.57421875" style="34" customWidth="1" outlineLevel="1"/>
    <col min="88" max="88" width="13.8515625" style="34" customWidth="1"/>
    <col min="89" max="89" width="13.7109375" style="34" customWidth="1" outlineLevel="1"/>
    <col min="90" max="90" width="11.57421875" style="1" customWidth="1" outlineLevel="1"/>
    <col min="91" max="91" width="11.57421875" style="112" customWidth="1"/>
    <col min="92" max="92" width="11.57421875" style="111" customWidth="1"/>
    <col min="93" max="93" width="9.421875" style="36" customWidth="1"/>
    <col min="94" max="95" width="12.8515625" style="111" customWidth="1"/>
    <col min="96" max="96" width="11.57421875" style="111" customWidth="1"/>
    <col min="97" max="97" width="11.57421875" style="112" customWidth="1"/>
    <col min="98" max="100" width="11.57421875" style="1" customWidth="1" outlineLevel="1"/>
    <col min="101" max="102" width="11.57421875" style="1" customWidth="1"/>
    <col min="103" max="103" width="14.140625" style="34" customWidth="1"/>
    <col min="104" max="104" width="11.57421875" style="34" customWidth="1"/>
    <col min="105" max="108" width="11.57421875" style="1" customWidth="1" outlineLevel="1"/>
    <col min="109" max="109" width="14.140625" style="34" customWidth="1"/>
    <col min="110" max="110" width="23.57421875" style="34" customWidth="1"/>
    <col min="111" max="111" width="14.7109375" style="34" customWidth="1"/>
    <col min="112" max="113" width="13.28125" style="34" customWidth="1"/>
    <col min="114" max="114" width="22.421875" style="1" bestFit="1" customWidth="1"/>
    <col min="115" max="115" width="32.8515625" style="1" customWidth="1"/>
    <col min="116" max="116" width="32.7109375" style="1" customWidth="1"/>
    <col min="117" max="16384" width="32.7109375" style="1" customWidth="1"/>
  </cols>
  <sheetData>
    <row r="1" spans="1:115" ht="16.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</row>
    <row r="2" spans="1:115" ht="15.75" customHeight="1">
      <c r="A2" s="127" t="s">
        <v>123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</row>
    <row r="3" spans="1:115" ht="45.75" customHeight="1">
      <c r="A3" s="128"/>
      <c r="B3" s="122" t="s">
        <v>1</v>
      </c>
      <c r="C3" s="121" t="s">
        <v>2</v>
      </c>
      <c r="D3" s="121" t="s">
        <v>3</v>
      </c>
      <c r="E3" s="121" t="s">
        <v>4</v>
      </c>
      <c r="F3" s="132"/>
      <c r="G3" s="123" t="s">
        <v>5</v>
      </c>
      <c r="H3" s="121" t="s">
        <v>6</v>
      </c>
      <c r="I3" s="124" t="s">
        <v>7</v>
      </c>
      <c r="J3" s="120" t="s">
        <v>8</v>
      </c>
      <c r="K3" s="122" t="s">
        <v>9</v>
      </c>
      <c r="L3" s="122"/>
      <c r="M3" s="122"/>
      <c r="N3" s="122"/>
      <c r="O3" s="122" t="s">
        <v>10</v>
      </c>
      <c r="P3" s="122" t="s">
        <v>11</v>
      </c>
      <c r="Q3" s="122" t="s">
        <v>12</v>
      </c>
      <c r="R3" s="122"/>
      <c r="S3" s="119" t="s">
        <v>13</v>
      </c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1"/>
      <c r="CC3" s="119" t="s">
        <v>14</v>
      </c>
      <c r="CD3" s="130"/>
      <c r="CE3" s="130"/>
      <c r="CF3" s="130"/>
      <c r="CG3" s="130"/>
      <c r="CH3" s="130"/>
      <c r="CI3" s="130"/>
      <c r="CJ3" s="130"/>
      <c r="CK3" s="130"/>
      <c r="CL3" s="131"/>
      <c r="CM3" s="136" t="s">
        <v>15</v>
      </c>
      <c r="CN3" s="129" t="s">
        <v>16</v>
      </c>
      <c r="CO3" s="139" t="s">
        <v>7</v>
      </c>
      <c r="CP3" s="125" t="s">
        <v>17</v>
      </c>
      <c r="CQ3" s="125" t="s">
        <v>125</v>
      </c>
      <c r="CR3" s="129" t="s">
        <v>18</v>
      </c>
      <c r="CS3" s="122" t="s">
        <v>19</v>
      </c>
      <c r="CT3" s="122"/>
      <c r="CU3" s="122"/>
      <c r="CV3" s="122"/>
      <c r="CW3" s="122" t="s">
        <v>20</v>
      </c>
      <c r="CX3" s="122" t="s">
        <v>21</v>
      </c>
      <c r="CY3" s="120" t="s">
        <v>22</v>
      </c>
      <c r="CZ3" s="120" t="s">
        <v>23</v>
      </c>
      <c r="DA3" s="120"/>
      <c r="DB3" s="120"/>
      <c r="DC3" s="120"/>
      <c r="DD3" s="120"/>
      <c r="DE3" s="120" t="s">
        <v>0</v>
      </c>
      <c r="DF3" s="137" t="s">
        <v>101</v>
      </c>
      <c r="DG3" s="120" t="s">
        <v>79</v>
      </c>
      <c r="DH3" s="134" t="s">
        <v>24</v>
      </c>
      <c r="DI3" s="135"/>
      <c r="DJ3" s="119" t="s">
        <v>25</v>
      </c>
      <c r="DK3" s="122" t="s">
        <v>26</v>
      </c>
    </row>
    <row r="4" spans="1:115" ht="132">
      <c r="A4" s="128"/>
      <c r="B4" s="122"/>
      <c r="C4" s="121"/>
      <c r="D4" s="121"/>
      <c r="E4" s="121"/>
      <c r="F4" s="133"/>
      <c r="G4" s="123"/>
      <c r="H4" s="121"/>
      <c r="I4" s="124"/>
      <c r="J4" s="120"/>
      <c r="K4" s="2" t="s">
        <v>27</v>
      </c>
      <c r="L4" s="3" t="s">
        <v>28</v>
      </c>
      <c r="M4" s="3" t="s">
        <v>29</v>
      </c>
      <c r="N4" s="3" t="s">
        <v>30</v>
      </c>
      <c r="O4" s="122"/>
      <c r="P4" s="122"/>
      <c r="Q4" s="4" t="s">
        <v>27</v>
      </c>
      <c r="R4" s="5" t="s">
        <v>31</v>
      </c>
      <c r="S4" s="109" t="s">
        <v>32</v>
      </c>
      <c r="T4" s="6" t="s">
        <v>33</v>
      </c>
      <c r="U4" s="7" t="s">
        <v>34</v>
      </c>
      <c r="V4" s="7" t="s">
        <v>35</v>
      </c>
      <c r="W4" s="8" t="s">
        <v>36</v>
      </c>
      <c r="X4" s="7" t="s">
        <v>37</v>
      </c>
      <c r="Y4" s="8" t="s">
        <v>38</v>
      </c>
      <c r="Z4" s="8" t="s">
        <v>39</v>
      </c>
      <c r="AA4" s="7" t="s">
        <v>40</v>
      </c>
      <c r="AB4" s="9" t="s">
        <v>41</v>
      </c>
      <c r="AC4" s="8" t="s">
        <v>42</v>
      </c>
      <c r="AD4" s="6" t="s">
        <v>43</v>
      </c>
      <c r="AE4" s="7" t="s">
        <v>44</v>
      </c>
      <c r="AF4" s="7" t="s">
        <v>45</v>
      </c>
      <c r="AG4" s="8" t="s">
        <v>36</v>
      </c>
      <c r="AH4" s="95" t="s">
        <v>37</v>
      </c>
      <c r="AI4" s="97" t="s">
        <v>38</v>
      </c>
      <c r="AJ4" s="8" t="s">
        <v>39</v>
      </c>
      <c r="AK4" s="7" t="s">
        <v>40</v>
      </c>
      <c r="AL4" s="9" t="s">
        <v>41</v>
      </c>
      <c r="AM4" s="8" t="s">
        <v>42</v>
      </c>
      <c r="AN4" s="6" t="s">
        <v>46</v>
      </c>
      <c r="AO4" s="7" t="s">
        <v>47</v>
      </c>
      <c r="AP4" s="7" t="s">
        <v>48</v>
      </c>
      <c r="AQ4" s="7" t="s">
        <v>36</v>
      </c>
      <c r="AR4" s="7" t="s">
        <v>37</v>
      </c>
      <c r="AS4" s="7" t="s">
        <v>38</v>
      </c>
      <c r="AT4" s="7" t="s">
        <v>39</v>
      </c>
      <c r="AU4" s="7" t="s">
        <v>40</v>
      </c>
      <c r="AV4" s="7" t="s">
        <v>41</v>
      </c>
      <c r="AW4" s="7" t="s">
        <v>42</v>
      </c>
      <c r="AX4" s="6" t="s">
        <v>49</v>
      </c>
      <c r="AY4" s="7" t="s">
        <v>50</v>
      </c>
      <c r="AZ4" s="7" t="s">
        <v>48</v>
      </c>
      <c r="BA4" s="7" t="s">
        <v>36</v>
      </c>
      <c r="BB4" s="7" t="s">
        <v>37</v>
      </c>
      <c r="BC4" s="7" t="s">
        <v>38</v>
      </c>
      <c r="BD4" s="7" t="s">
        <v>39</v>
      </c>
      <c r="BE4" s="7" t="s">
        <v>126</v>
      </c>
      <c r="BF4" s="7" t="s">
        <v>40</v>
      </c>
      <c r="BG4" s="7" t="s">
        <v>41</v>
      </c>
      <c r="BH4" s="7" t="s">
        <v>42</v>
      </c>
      <c r="BI4" s="109" t="s">
        <v>118</v>
      </c>
      <c r="BJ4" s="3" t="s">
        <v>119</v>
      </c>
      <c r="BK4" s="3" t="s">
        <v>48</v>
      </c>
      <c r="BL4" s="3" t="s">
        <v>36</v>
      </c>
      <c r="BM4" s="3" t="s">
        <v>37</v>
      </c>
      <c r="BN4" s="3" t="s">
        <v>38</v>
      </c>
      <c r="BO4" s="3" t="s">
        <v>39</v>
      </c>
      <c r="BP4" s="3" t="s">
        <v>40</v>
      </c>
      <c r="BQ4" s="3" t="s">
        <v>41</v>
      </c>
      <c r="BR4" s="3" t="s">
        <v>42</v>
      </c>
      <c r="BS4" s="109" t="s">
        <v>120</v>
      </c>
      <c r="BT4" s="3" t="s">
        <v>121</v>
      </c>
      <c r="BU4" s="3" t="s">
        <v>48</v>
      </c>
      <c r="BV4" s="3" t="s">
        <v>36</v>
      </c>
      <c r="BW4" s="3" t="s">
        <v>37</v>
      </c>
      <c r="BX4" s="3" t="s">
        <v>38</v>
      </c>
      <c r="BY4" s="3" t="s">
        <v>39</v>
      </c>
      <c r="BZ4" s="3" t="s">
        <v>40</v>
      </c>
      <c r="CA4" s="3" t="s">
        <v>41</v>
      </c>
      <c r="CB4" s="3" t="s">
        <v>42</v>
      </c>
      <c r="CC4" s="6" t="s">
        <v>51</v>
      </c>
      <c r="CD4" s="8" t="s">
        <v>52</v>
      </c>
      <c r="CE4" s="7" t="s">
        <v>53</v>
      </c>
      <c r="CF4" s="8" t="s">
        <v>54</v>
      </c>
      <c r="CG4" s="7" t="s">
        <v>55</v>
      </c>
      <c r="CH4" s="9" t="s">
        <v>56</v>
      </c>
      <c r="CI4" s="8" t="s">
        <v>57</v>
      </c>
      <c r="CJ4" s="8" t="s">
        <v>58</v>
      </c>
      <c r="CK4" s="8" t="s">
        <v>59</v>
      </c>
      <c r="CL4" s="7" t="s">
        <v>60</v>
      </c>
      <c r="CM4" s="136"/>
      <c r="CN4" s="129"/>
      <c r="CO4" s="139"/>
      <c r="CP4" s="126"/>
      <c r="CQ4" s="126"/>
      <c r="CR4" s="129"/>
      <c r="CS4" s="6" t="s">
        <v>61</v>
      </c>
      <c r="CT4" s="7" t="s">
        <v>62</v>
      </c>
      <c r="CU4" s="7" t="s">
        <v>78</v>
      </c>
      <c r="CV4" s="7" t="s">
        <v>63</v>
      </c>
      <c r="CW4" s="122"/>
      <c r="CX4" s="122"/>
      <c r="CY4" s="120"/>
      <c r="CZ4" s="8" t="s">
        <v>64</v>
      </c>
      <c r="DA4" s="3" t="s">
        <v>65</v>
      </c>
      <c r="DB4" s="3" t="s">
        <v>66</v>
      </c>
      <c r="DC4" s="3" t="s">
        <v>67</v>
      </c>
      <c r="DD4" s="3" t="s">
        <v>110</v>
      </c>
      <c r="DE4" s="120"/>
      <c r="DF4" s="138"/>
      <c r="DG4" s="120"/>
      <c r="DH4" s="37" t="s">
        <v>112</v>
      </c>
      <c r="DI4" s="37" t="s">
        <v>113</v>
      </c>
      <c r="DJ4" s="119"/>
      <c r="DK4" s="122"/>
    </row>
    <row r="5" spans="1:116" ht="15.75" customHeight="1" hidden="1">
      <c r="A5" s="19"/>
      <c r="B5" s="3"/>
      <c r="C5" s="20"/>
      <c r="D5" s="20"/>
      <c r="E5" s="20">
        <v>0</v>
      </c>
      <c r="F5" s="20"/>
      <c r="G5" s="21">
        <f aca="true" t="shared" si="0" ref="G5:G16">C5-D5+E5</f>
        <v>0</v>
      </c>
      <c r="H5" s="20"/>
      <c r="I5" s="22" t="e">
        <f aca="true" t="shared" si="1" ref="I5:I16">H5/G5</f>
        <v>#DIV/0!</v>
      </c>
      <c r="J5" s="2">
        <f>G5-H5</f>
        <v>0</v>
      </c>
      <c r="K5" s="2">
        <f>SUM(L5:N5)</f>
        <v>0</v>
      </c>
      <c r="L5" s="3"/>
      <c r="M5" s="3"/>
      <c r="N5" s="3"/>
      <c r="O5" s="3"/>
      <c r="P5" s="3"/>
      <c r="Q5" s="3"/>
      <c r="R5" s="3">
        <v>0</v>
      </c>
      <c r="S5" s="109">
        <f>T5+AD5+AX5+AN5</f>
        <v>0</v>
      </c>
      <c r="T5" s="2">
        <f>AC5*Z5/1000</f>
        <v>0</v>
      </c>
      <c r="U5" s="3"/>
      <c r="V5" s="3"/>
      <c r="W5" s="2">
        <f>V5*U5/1000</f>
        <v>0</v>
      </c>
      <c r="X5" s="3"/>
      <c r="Y5" s="2">
        <f>X5/7000</f>
        <v>0</v>
      </c>
      <c r="Z5" s="2">
        <f>IF(Y5&lt;&gt;0,W5/Y5,0)</f>
        <v>0</v>
      </c>
      <c r="AA5" s="3"/>
      <c r="AB5" s="23"/>
      <c r="AC5" s="2">
        <f>AA5*AB5</f>
        <v>0</v>
      </c>
      <c r="AD5" s="2">
        <f>AM5*AJ5/1000</f>
        <v>0</v>
      </c>
      <c r="AE5" s="3"/>
      <c r="AF5" s="3"/>
      <c r="AG5" s="2">
        <f>AF5*AE5/1000</f>
        <v>0</v>
      </c>
      <c r="AH5" s="19"/>
      <c r="AI5" s="27">
        <f>AH5/7000</f>
        <v>0</v>
      </c>
      <c r="AJ5" s="2">
        <f>IF(AI5&lt;&gt;0,AG5/AI5,0)</f>
        <v>0</v>
      </c>
      <c r="AK5" s="3"/>
      <c r="AL5" s="23"/>
      <c r="AM5" s="2">
        <f>AK5*AL5</f>
        <v>0</v>
      </c>
      <c r="AN5" s="2">
        <f>AW5*AT5/1000</f>
        <v>0</v>
      </c>
      <c r="AO5" s="3"/>
      <c r="AP5" s="3"/>
      <c r="AQ5" s="2">
        <f>AP5*AO5/1000</f>
        <v>0</v>
      </c>
      <c r="AR5" s="3"/>
      <c r="AS5" s="2">
        <f>AR5/7000</f>
        <v>0</v>
      </c>
      <c r="AT5" s="2">
        <f>IF(AS5&lt;&gt;0,AQ5/AS5,0)</f>
        <v>0</v>
      </c>
      <c r="AU5" s="3"/>
      <c r="AV5" s="3"/>
      <c r="AW5" s="2">
        <f>AU5*AV5</f>
        <v>0</v>
      </c>
      <c r="AX5" s="2">
        <f>BH5*BD5/1000</f>
        <v>0</v>
      </c>
      <c r="AY5" s="3"/>
      <c r="AZ5" s="3"/>
      <c r="BA5" s="2">
        <f>AZ5*AY5/1000</f>
        <v>0</v>
      </c>
      <c r="BB5" s="3"/>
      <c r="BC5" s="2">
        <f>BB5/7000</f>
        <v>0</v>
      </c>
      <c r="BD5" s="2">
        <f>IF(BC5&lt;&gt;0,BA5/BC5,0)</f>
        <v>0</v>
      </c>
      <c r="BE5" s="2"/>
      <c r="BF5" s="3"/>
      <c r="BG5" s="3"/>
      <c r="BH5" s="2">
        <f>BF5*BG5</f>
        <v>0</v>
      </c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109">
        <f>CD5+CJ5</f>
        <v>0</v>
      </c>
      <c r="CD5" s="2">
        <f>CF5*CI5</f>
        <v>0</v>
      </c>
      <c r="CE5" s="3"/>
      <c r="CF5" s="2">
        <f aca="true" t="shared" si="2" ref="CF5:CF10">CE5*C5/1000</f>
        <v>0</v>
      </c>
      <c r="CG5" s="3"/>
      <c r="CH5" s="23"/>
      <c r="CI5" s="2">
        <f>CG5*CH5</f>
        <v>0</v>
      </c>
      <c r="CJ5" s="2">
        <f>CK5*CL5/1000</f>
        <v>0</v>
      </c>
      <c r="CK5" s="2">
        <f aca="true" t="shared" si="3" ref="CK5:CK10">E5</f>
        <v>0</v>
      </c>
      <c r="CL5" s="3"/>
      <c r="CM5" s="109"/>
      <c r="CN5" s="110"/>
      <c r="CO5" s="24" t="e">
        <f aca="true" t="shared" si="4" ref="CO5:CO11">CN5/CM5</f>
        <v>#DIV/0!</v>
      </c>
      <c r="CP5" s="110"/>
      <c r="CQ5" s="110"/>
      <c r="CR5" s="110"/>
      <c r="CS5" s="109">
        <f aca="true" t="shared" si="5" ref="CS5:CS10">SUM(CT5:CV5)</f>
        <v>0</v>
      </c>
      <c r="CT5" s="3"/>
      <c r="CU5" s="3"/>
      <c r="CV5" s="3"/>
      <c r="CW5" s="3"/>
      <c r="CX5" s="3"/>
      <c r="CY5" s="2">
        <f aca="true" t="shared" si="6" ref="CY5:CY18">O5+P5+Q5+S5+CC5+CM5+CN5+CP5+CR5+CS5-CW5+CX5</f>
        <v>0</v>
      </c>
      <c r="CZ5" s="2">
        <f>SUM(DA5:DD5)</f>
        <v>0</v>
      </c>
      <c r="DA5" s="3"/>
      <c r="DB5" s="3"/>
      <c r="DC5" s="3"/>
      <c r="DD5" s="3"/>
      <c r="DE5" s="2">
        <f>CY5+CZ5</f>
        <v>0</v>
      </c>
      <c r="DF5" s="2"/>
      <c r="DG5" s="2" t="e">
        <f aca="true" t="shared" si="7" ref="DG5:DG17">DE5/K5*1000</f>
        <v>#DIV/0!</v>
      </c>
      <c r="DH5" s="37"/>
      <c r="DI5" s="37"/>
      <c r="DJ5" s="25"/>
      <c r="DK5" s="3">
        <f aca="true" t="shared" si="8" ref="DK5:DK10">P5+CP5+CT5+DA5+R5</f>
        <v>0</v>
      </c>
      <c r="DL5" s="1" t="e">
        <f aca="true" t="shared" si="9" ref="DL5:DL10">DK5/DE5</f>
        <v>#DIV/0!</v>
      </c>
    </row>
    <row r="6" spans="1:116" ht="15.75" customHeight="1" hidden="1">
      <c r="A6" s="19"/>
      <c r="B6" s="3"/>
      <c r="C6" s="20"/>
      <c r="D6" s="20"/>
      <c r="E6" s="20">
        <v>0</v>
      </c>
      <c r="F6" s="20"/>
      <c r="G6" s="21">
        <f t="shared" si="0"/>
        <v>0</v>
      </c>
      <c r="H6" s="20"/>
      <c r="I6" s="22" t="e">
        <f t="shared" si="1"/>
        <v>#DIV/0!</v>
      </c>
      <c r="J6" s="2">
        <f>G6-H6</f>
        <v>0</v>
      </c>
      <c r="K6" s="2">
        <f>SUM(L6:N6)</f>
        <v>0</v>
      </c>
      <c r="L6" s="3"/>
      <c r="M6" s="3"/>
      <c r="N6" s="3"/>
      <c r="O6" s="3"/>
      <c r="P6" s="3"/>
      <c r="Q6" s="3"/>
      <c r="R6" s="3">
        <v>0</v>
      </c>
      <c r="S6" s="109">
        <f>T6+AD6+AX6+AN6</f>
        <v>0</v>
      </c>
      <c r="T6" s="2">
        <f>AC6*Z6/1000</f>
        <v>0</v>
      </c>
      <c r="U6" s="3"/>
      <c r="V6" s="3"/>
      <c r="W6" s="2">
        <f>V6*U6/1000</f>
        <v>0</v>
      </c>
      <c r="X6" s="3"/>
      <c r="Y6" s="2">
        <f>X6/7000</f>
        <v>0</v>
      </c>
      <c r="Z6" s="2">
        <f>IF(Y6&lt;&gt;0,W6/Y6,0)</f>
        <v>0</v>
      </c>
      <c r="AA6" s="3"/>
      <c r="AB6" s="23"/>
      <c r="AC6" s="2">
        <f>AA6*AB6</f>
        <v>0</v>
      </c>
      <c r="AD6" s="2">
        <f>AM6*AJ6/1000</f>
        <v>0</v>
      </c>
      <c r="AE6" s="3"/>
      <c r="AF6" s="3"/>
      <c r="AG6" s="2">
        <f>AF6*AE6/1000</f>
        <v>0</v>
      </c>
      <c r="AH6" s="19"/>
      <c r="AI6" s="27">
        <f>AH6/7000</f>
        <v>0</v>
      </c>
      <c r="AJ6" s="2">
        <f>IF(AI6&lt;&gt;0,AG6/AI6,0)</f>
        <v>0</v>
      </c>
      <c r="AK6" s="3"/>
      <c r="AL6" s="23"/>
      <c r="AM6" s="2">
        <f>AK6*AL6</f>
        <v>0</v>
      </c>
      <c r="AN6" s="2">
        <f>AW6*AT6/1000</f>
        <v>0</v>
      </c>
      <c r="AO6" s="3"/>
      <c r="AP6" s="3"/>
      <c r="AQ6" s="2">
        <f>AP6*AO6/1000</f>
        <v>0</v>
      </c>
      <c r="AR6" s="3"/>
      <c r="AS6" s="2">
        <f>AR6/7000</f>
        <v>0</v>
      </c>
      <c r="AT6" s="2">
        <f>IF(AS6&lt;&gt;0,AQ6/AS6,0)</f>
        <v>0</v>
      </c>
      <c r="AU6" s="3"/>
      <c r="AV6" s="3"/>
      <c r="AW6" s="2">
        <f>AU6*AV6</f>
        <v>0</v>
      </c>
      <c r="AX6" s="2">
        <f>BH6*BD6/1000</f>
        <v>0</v>
      </c>
      <c r="AY6" s="3"/>
      <c r="AZ6" s="3"/>
      <c r="BA6" s="2">
        <f>AZ6*AY6/1000</f>
        <v>0</v>
      </c>
      <c r="BB6" s="3"/>
      <c r="BC6" s="2">
        <f>BB6/7000</f>
        <v>0</v>
      </c>
      <c r="BD6" s="2">
        <f>IF(BC6&lt;&gt;0,BA6/BC6,0)</f>
        <v>0</v>
      </c>
      <c r="BE6" s="2"/>
      <c r="BF6" s="3"/>
      <c r="BG6" s="3"/>
      <c r="BH6" s="2">
        <f>BF6*BG6</f>
        <v>0</v>
      </c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109">
        <f>CD6+CJ6</f>
        <v>0</v>
      </c>
      <c r="CD6" s="2">
        <f>CF6*CI6</f>
        <v>0</v>
      </c>
      <c r="CE6" s="3"/>
      <c r="CF6" s="2">
        <f t="shared" si="2"/>
        <v>0</v>
      </c>
      <c r="CG6" s="3"/>
      <c r="CH6" s="23"/>
      <c r="CI6" s="2">
        <f>CG6*CH6</f>
        <v>0</v>
      </c>
      <c r="CJ6" s="2">
        <f>CK6*CL6/1000</f>
        <v>0</v>
      </c>
      <c r="CK6" s="2">
        <f t="shared" si="3"/>
        <v>0</v>
      </c>
      <c r="CL6" s="3"/>
      <c r="CM6" s="109"/>
      <c r="CN6" s="110"/>
      <c r="CO6" s="24" t="e">
        <f t="shared" si="4"/>
        <v>#DIV/0!</v>
      </c>
      <c r="CP6" s="110"/>
      <c r="CQ6" s="110"/>
      <c r="CR6" s="110"/>
      <c r="CS6" s="109">
        <f t="shared" si="5"/>
        <v>0</v>
      </c>
      <c r="CT6" s="3"/>
      <c r="CU6" s="3"/>
      <c r="CV6" s="3"/>
      <c r="CW6" s="3"/>
      <c r="CX6" s="3"/>
      <c r="CY6" s="2">
        <f t="shared" si="6"/>
        <v>0</v>
      </c>
      <c r="CZ6" s="2">
        <f>SUM(DA6:DD6)</f>
        <v>0</v>
      </c>
      <c r="DA6" s="3"/>
      <c r="DB6" s="3"/>
      <c r="DC6" s="3"/>
      <c r="DD6" s="3"/>
      <c r="DE6" s="2">
        <f>CY6+CZ6</f>
        <v>0</v>
      </c>
      <c r="DF6" s="2"/>
      <c r="DG6" s="2" t="e">
        <f t="shared" si="7"/>
        <v>#DIV/0!</v>
      </c>
      <c r="DH6" s="37"/>
      <c r="DI6" s="37"/>
      <c r="DJ6" s="25"/>
      <c r="DK6" s="3">
        <f t="shared" si="8"/>
        <v>0</v>
      </c>
      <c r="DL6" s="1" t="e">
        <f t="shared" si="9"/>
        <v>#DIV/0!</v>
      </c>
    </row>
    <row r="7" spans="1:116" ht="15.75" customHeight="1" hidden="1">
      <c r="A7" s="19"/>
      <c r="B7" s="3"/>
      <c r="C7" s="20"/>
      <c r="D7" s="20"/>
      <c r="E7" s="20">
        <v>0</v>
      </c>
      <c r="F7" s="20"/>
      <c r="G7" s="21">
        <f t="shared" si="0"/>
        <v>0</v>
      </c>
      <c r="H7" s="20"/>
      <c r="I7" s="22" t="e">
        <f t="shared" si="1"/>
        <v>#DIV/0!</v>
      </c>
      <c r="J7" s="2">
        <f>G7-H7</f>
        <v>0</v>
      </c>
      <c r="K7" s="2">
        <f>SUM(L7:N7)</f>
        <v>0</v>
      </c>
      <c r="L7" s="3"/>
      <c r="M7" s="3"/>
      <c r="N7" s="3"/>
      <c r="O7" s="3"/>
      <c r="P7" s="3"/>
      <c r="Q7" s="3"/>
      <c r="R7" s="3">
        <v>0</v>
      </c>
      <c r="S7" s="109">
        <f>T7+AD7+AX7+AN7</f>
        <v>0</v>
      </c>
      <c r="T7" s="2">
        <f>AC7*Z7/1000</f>
        <v>0</v>
      </c>
      <c r="U7" s="3"/>
      <c r="V7" s="3"/>
      <c r="W7" s="2">
        <f>V7*U7/1000</f>
        <v>0</v>
      </c>
      <c r="X7" s="3"/>
      <c r="Y7" s="2">
        <f>X7/7000</f>
        <v>0</v>
      </c>
      <c r="Z7" s="2">
        <f>IF(Y7&lt;&gt;0,W7/Y7,0)</f>
        <v>0</v>
      </c>
      <c r="AA7" s="3"/>
      <c r="AB7" s="23"/>
      <c r="AC7" s="2">
        <f>AA7*AB7</f>
        <v>0</v>
      </c>
      <c r="AD7" s="2">
        <f>AM7*AJ7/1000</f>
        <v>0</v>
      </c>
      <c r="AE7" s="3"/>
      <c r="AF7" s="3"/>
      <c r="AG7" s="2">
        <f>AF7*AE7/1000</f>
        <v>0</v>
      </c>
      <c r="AH7" s="19"/>
      <c r="AI7" s="27">
        <f>AH7/7000</f>
        <v>0</v>
      </c>
      <c r="AJ7" s="2">
        <f>IF(AI7&lt;&gt;0,AG7/AI7,0)</f>
        <v>0</v>
      </c>
      <c r="AK7" s="3"/>
      <c r="AL7" s="23"/>
      <c r="AM7" s="2">
        <f>AK7*AL7</f>
        <v>0</v>
      </c>
      <c r="AN7" s="2">
        <f>AW7*AT7/1000</f>
        <v>0</v>
      </c>
      <c r="AO7" s="3"/>
      <c r="AP7" s="3"/>
      <c r="AQ7" s="2">
        <f>AP7*AO7/1000</f>
        <v>0</v>
      </c>
      <c r="AR7" s="3"/>
      <c r="AS7" s="2">
        <f>AR7/7000</f>
        <v>0</v>
      </c>
      <c r="AT7" s="2">
        <f>IF(AS7&lt;&gt;0,AQ7/AS7,0)</f>
        <v>0</v>
      </c>
      <c r="AU7" s="3"/>
      <c r="AV7" s="3"/>
      <c r="AW7" s="2">
        <f>AU7*AV7</f>
        <v>0</v>
      </c>
      <c r="AX7" s="2">
        <f>BH7*BD7/1000</f>
        <v>0</v>
      </c>
      <c r="AY7" s="3"/>
      <c r="AZ7" s="3"/>
      <c r="BA7" s="2">
        <f>AZ7*AY7/1000</f>
        <v>0</v>
      </c>
      <c r="BB7" s="3"/>
      <c r="BC7" s="2">
        <f>BB7/7000</f>
        <v>0</v>
      </c>
      <c r="BD7" s="2">
        <f>IF(BC7&lt;&gt;0,BA7/BC7,0)</f>
        <v>0</v>
      </c>
      <c r="BE7" s="2"/>
      <c r="BF7" s="3"/>
      <c r="BG7" s="3"/>
      <c r="BH7" s="2">
        <f>BF7*BG7</f>
        <v>0</v>
      </c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109">
        <f>CD7+CJ7</f>
        <v>0</v>
      </c>
      <c r="CD7" s="2">
        <f>CF7*CI7</f>
        <v>0</v>
      </c>
      <c r="CE7" s="3"/>
      <c r="CF7" s="2">
        <f t="shared" si="2"/>
        <v>0</v>
      </c>
      <c r="CG7" s="3"/>
      <c r="CH7" s="23"/>
      <c r="CI7" s="2">
        <f>CG7*CH7</f>
        <v>0</v>
      </c>
      <c r="CJ7" s="2">
        <f>CK7*CL7/1000</f>
        <v>0</v>
      </c>
      <c r="CK7" s="2">
        <f t="shared" si="3"/>
        <v>0</v>
      </c>
      <c r="CL7" s="3"/>
      <c r="CM7" s="109"/>
      <c r="CN7" s="110"/>
      <c r="CO7" s="24" t="e">
        <f t="shared" si="4"/>
        <v>#DIV/0!</v>
      </c>
      <c r="CP7" s="110"/>
      <c r="CQ7" s="110"/>
      <c r="CR7" s="110"/>
      <c r="CS7" s="109">
        <f t="shared" si="5"/>
        <v>0</v>
      </c>
      <c r="CT7" s="3"/>
      <c r="CU7" s="3"/>
      <c r="CV7" s="3"/>
      <c r="CW7" s="3"/>
      <c r="CX7" s="3"/>
      <c r="CY7" s="2">
        <f t="shared" si="6"/>
        <v>0</v>
      </c>
      <c r="CZ7" s="2">
        <f>SUM(DA7:DD7)</f>
        <v>0</v>
      </c>
      <c r="DA7" s="3"/>
      <c r="DB7" s="3"/>
      <c r="DC7" s="3"/>
      <c r="DD7" s="3"/>
      <c r="DE7" s="2">
        <f>CY7+CZ7</f>
        <v>0</v>
      </c>
      <c r="DF7" s="2"/>
      <c r="DG7" s="2" t="e">
        <f t="shared" si="7"/>
        <v>#DIV/0!</v>
      </c>
      <c r="DH7" s="37"/>
      <c r="DI7" s="37"/>
      <c r="DJ7" s="25"/>
      <c r="DK7" s="3">
        <f t="shared" si="8"/>
        <v>0</v>
      </c>
      <c r="DL7" s="1" t="e">
        <f t="shared" si="9"/>
        <v>#DIV/0!</v>
      </c>
    </row>
    <row r="8" spans="1:116" ht="15.75" customHeight="1" hidden="1">
      <c r="A8" s="19"/>
      <c r="B8" s="3"/>
      <c r="C8" s="20"/>
      <c r="D8" s="20"/>
      <c r="E8" s="20">
        <v>0</v>
      </c>
      <c r="F8" s="20"/>
      <c r="G8" s="21">
        <f t="shared" si="0"/>
        <v>0</v>
      </c>
      <c r="H8" s="20"/>
      <c r="I8" s="22" t="e">
        <f t="shared" si="1"/>
        <v>#DIV/0!</v>
      </c>
      <c r="J8" s="2">
        <f>G8-H8</f>
        <v>0</v>
      </c>
      <c r="K8" s="2">
        <f>SUM(L8:N8)</f>
        <v>0</v>
      </c>
      <c r="L8" s="3"/>
      <c r="M8" s="3"/>
      <c r="N8" s="3"/>
      <c r="O8" s="3"/>
      <c r="P8" s="3"/>
      <c r="Q8" s="3"/>
      <c r="R8" s="3">
        <v>0</v>
      </c>
      <c r="S8" s="109">
        <f>T8+AD8+AX8+AN8</f>
        <v>0</v>
      </c>
      <c r="T8" s="2">
        <f>AC8*Z8/1000</f>
        <v>0</v>
      </c>
      <c r="U8" s="3"/>
      <c r="V8" s="3"/>
      <c r="W8" s="2">
        <f>V8*U8/1000</f>
        <v>0</v>
      </c>
      <c r="X8" s="3"/>
      <c r="Y8" s="2">
        <f>X8/7000</f>
        <v>0</v>
      </c>
      <c r="Z8" s="2">
        <f>IF(Y8&lt;&gt;0,W8/Y8,0)</f>
        <v>0</v>
      </c>
      <c r="AA8" s="3"/>
      <c r="AB8" s="23"/>
      <c r="AC8" s="2">
        <f>AA8*AB8</f>
        <v>0</v>
      </c>
      <c r="AD8" s="2">
        <f>AM8*AJ8/1000</f>
        <v>0</v>
      </c>
      <c r="AE8" s="3"/>
      <c r="AF8" s="3"/>
      <c r="AG8" s="2">
        <f>AF8*AE8/1000</f>
        <v>0</v>
      </c>
      <c r="AH8" s="19"/>
      <c r="AI8" s="27">
        <f>AH8/7000</f>
        <v>0</v>
      </c>
      <c r="AJ8" s="2">
        <f>IF(AI8&lt;&gt;0,AG8/AI8,0)</f>
        <v>0</v>
      </c>
      <c r="AK8" s="3"/>
      <c r="AL8" s="23"/>
      <c r="AM8" s="2">
        <f>AK8*AL8</f>
        <v>0</v>
      </c>
      <c r="AN8" s="2">
        <f>AW8*AT8/1000</f>
        <v>0</v>
      </c>
      <c r="AO8" s="3"/>
      <c r="AP8" s="3"/>
      <c r="AQ8" s="2">
        <f>AP8*AO8/1000</f>
        <v>0</v>
      </c>
      <c r="AR8" s="3"/>
      <c r="AS8" s="2">
        <f>AR8/7000</f>
        <v>0</v>
      </c>
      <c r="AT8" s="2">
        <f>IF(AS8&lt;&gt;0,AQ8/AS8,0)</f>
        <v>0</v>
      </c>
      <c r="AU8" s="3"/>
      <c r="AV8" s="3"/>
      <c r="AW8" s="2">
        <f>AU8*AV8</f>
        <v>0</v>
      </c>
      <c r="AX8" s="2">
        <f>BH8*BD8/1000</f>
        <v>0</v>
      </c>
      <c r="AY8" s="3"/>
      <c r="AZ8" s="3"/>
      <c r="BA8" s="2">
        <f>AZ8*AY8/1000</f>
        <v>0</v>
      </c>
      <c r="BB8" s="3"/>
      <c r="BC8" s="2">
        <f>BB8/7000</f>
        <v>0</v>
      </c>
      <c r="BD8" s="2">
        <f>IF(BC8&lt;&gt;0,BA8/BC8,0)</f>
        <v>0</v>
      </c>
      <c r="BE8" s="2"/>
      <c r="BF8" s="3"/>
      <c r="BG8" s="3"/>
      <c r="BH8" s="2">
        <f>BF8*BG8</f>
        <v>0</v>
      </c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109">
        <f aca="true" t="shared" si="10" ref="CC8:CC18">CD8+CJ8</f>
        <v>0</v>
      </c>
      <c r="CD8" s="2">
        <f>CF8*CI8</f>
        <v>0</v>
      </c>
      <c r="CE8" s="3"/>
      <c r="CF8" s="2">
        <f t="shared" si="2"/>
        <v>0</v>
      </c>
      <c r="CG8" s="3"/>
      <c r="CH8" s="23"/>
      <c r="CI8" s="2">
        <f>CG8*CH8</f>
        <v>0</v>
      </c>
      <c r="CJ8" s="2">
        <f>CK8*CL8/1000</f>
        <v>0</v>
      </c>
      <c r="CK8" s="2">
        <f t="shared" si="3"/>
        <v>0</v>
      </c>
      <c r="CL8" s="3"/>
      <c r="CM8" s="109"/>
      <c r="CN8" s="110"/>
      <c r="CO8" s="24" t="e">
        <f t="shared" si="4"/>
        <v>#DIV/0!</v>
      </c>
      <c r="CP8" s="110"/>
      <c r="CQ8" s="110"/>
      <c r="CR8" s="110"/>
      <c r="CS8" s="109">
        <f t="shared" si="5"/>
        <v>0</v>
      </c>
      <c r="CT8" s="3"/>
      <c r="CU8" s="3"/>
      <c r="CV8" s="3"/>
      <c r="CW8" s="3"/>
      <c r="CX8" s="3"/>
      <c r="CY8" s="2">
        <f t="shared" si="6"/>
        <v>0</v>
      </c>
      <c r="CZ8" s="2">
        <f aca="true" t="shared" si="11" ref="CZ8:CZ17">SUM(DA8:DD8)</f>
        <v>0</v>
      </c>
      <c r="DA8" s="3"/>
      <c r="DB8" s="3"/>
      <c r="DC8" s="3"/>
      <c r="DD8" s="3"/>
      <c r="DE8" s="2">
        <f>CY8+CZ8</f>
        <v>0</v>
      </c>
      <c r="DF8" s="2"/>
      <c r="DG8" s="2" t="e">
        <f t="shared" si="7"/>
        <v>#DIV/0!</v>
      </c>
      <c r="DH8" s="37"/>
      <c r="DI8" s="37"/>
      <c r="DJ8" s="25"/>
      <c r="DK8" s="3">
        <f t="shared" si="8"/>
        <v>0</v>
      </c>
      <c r="DL8" s="1" t="e">
        <f t="shared" si="9"/>
        <v>#DIV/0!</v>
      </c>
    </row>
    <row r="9" spans="1:116" ht="15.75" customHeight="1" hidden="1">
      <c r="A9" s="19"/>
      <c r="B9" s="3"/>
      <c r="C9" s="20"/>
      <c r="D9" s="20"/>
      <c r="E9" s="20">
        <v>0</v>
      </c>
      <c r="F9" s="20"/>
      <c r="G9" s="21">
        <f t="shared" si="0"/>
        <v>0</v>
      </c>
      <c r="H9" s="20"/>
      <c r="I9" s="22" t="e">
        <f t="shared" si="1"/>
        <v>#DIV/0!</v>
      </c>
      <c r="J9" s="2">
        <f>G9-H9</f>
        <v>0</v>
      </c>
      <c r="K9" s="2">
        <f>SUM(L9:N9)</f>
        <v>0</v>
      </c>
      <c r="L9" s="3"/>
      <c r="M9" s="3"/>
      <c r="N9" s="3"/>
      <c r="O9" s="3"/>
      <c r="P9" s="3"/>
      <c r="Q9" s="3"/>
      <c r="R9" s="3">
        <v>0</v>
      </c>
      <c r="S9" s="109">
        <f>T9+AD9+AX9+AN9</f>
        <v>0</v>
      </c>
      <c r="T9" s="2">
        <f>AC9*Z9/1000</f>
        <v>0</v>
      </c>
      <c r="U9" s="3"/>
      <c r="V9" s="3"/>
      <c r="W9" s="2">
        <f>V9*U9/1000</f>
        <v>0</v>
      </c>
      <c r="X9" s="3"/>
      <c r="Y9" s="2">
        <f>X9/7000</f>
        <v>0</v>
      </c>
      <c r="Z9" s="2">
        <f>IF(Y9&lt;&gt;0,W9/Y9,0)</f>
        <v>0</v>
      </c>
      <c r="AA9" s="3"/>
      <c r="AB9" s="23"/>
      <c r="AC9" s="2">
        <f>AA9*AB9</f>
        <v>0</v>
      </c>
      <c r="AD9" s="2">
        <f>AM9*AJ9/1000</f>
        <v>0</v>
      </c>
      <c r="AE9" s="3"/>
      <c r="AF9" s="3"/>
      <c r="AG9" s="2">
        <f>AF9*AE9/1000</f>
        <v>0</v>
      </c>
      <c r="AH9" s="19"/>
      <c r="AI9" s="27">
        <f>AH9/7000</f>
        <v>0</v>
      </c>
      <c r="AJ9" s="2">
        <f>IF(AI9&lt;&gt;0,AG9/AI9,0)</f>
        <v>0</v>
      </c>
      <c r="AK9" s="3"/>
      <c r="AL9" s="23"/>
      <c r="AM9" s="2">
        <f>AK9*AL9</f>
        <v>0</v>
      </c>
      <c r="AN9" s="2">
        <f>AW9*AT9/1000</f>
        <v>0</v>
      </c>
      <c r="AO9" s="3"/>
      <c r="AP9" s="3"/>
      <c r="AQ9" s="2">
        <f>AP9*AO9/1000</f>
        <v>0</v>
      </c>
      <c r="AR9" s="3"/>
      <c r="AS9" s="2">
        <f>AR9/7000</f>
        <v>0</v>
      </c>
      <c r="AT9" s="2">
        <f>IF(AS9&lt;&gt;0,AQ9/AS9,0)</f>
        <v>0</v>
      </c>
      <c r="AU9" s="3"/>
      <c r="AV9" s="3"/>
      <c r="AW9" s="2">
        <f>AU9*AV9</f>
        <v>0</v>
      </c>
      <c r="AX9" s="2">
        <f>BH9*BD9/1000</f>
        <v>0</v>
      </c>
      <c r="AY9" s="3"/>
      <c r="AZ9" s="3"/>
      <c r="BA9" s="2">
        <f>AZ9*AY9/1000</f>
        <v>0</v>
      </c>
      <c r="BB9" s="3"/>
      <c r="BC9" s="2">
        <f>BB9/7000</f>
        <v>0</v>
      </c>
      <c r="BD9" s="2">
        <f>IF(BC9&lt;&gt;0,BA9/BC9,0)</f>
        <v>0</v>
      </c>
      <c r="BE9" s="2"/>
      <c r="BF9" s="3"/>
      <c r="BG9" s="3"/>
      <c r="BH9" s="2">
        <f>BF9*BG9</f>
        <v>0</v>
      </c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109">
        <f t="shared" si="10"/>
        <v>0</v>
      </c>
      <c r="CD9" s="2">
        <f>CF9*CI9</f>
        <v>0</v>
      </c>
      <c r="CE9" s="3"/>
      <c r="CF9" s="2">
        <f t="shared" si="2"/>
        <v>0</v>
      </c>
      <c r="CG9" s="3"/>
      <c r="CH9" s="23"/>
      <c r="CI9" s="2">
        <f>CG9*CH9</f>
        <v>0</v>
      </c>
      <c r="CJ9" s="2">
        <f>CK9*CL9/1000</f>
        <v>0</v>
      </c>
      <c r="CK9" s="2">
        <f t="shared" si="3"/>
        <v>0</v>
      </c>
      <c r="CL9" s="3"/>
      <c r="CM9" s="109"/>
      <c r="CN9" s="110"/>
      <c r="CO9" s="24" t="e">
        <f t="shared" si="4"/>
        <v>#DIV/0!</v>
      </c>
      <c r="CP9" s="110"/>
      <c r="CQ9" s="110"/>
      <c r="CR9" s="110"/>
      <c r="CS9" s="109">
        <f t="shared" si="5"/>
        <v>0</v>
      </c>
      <c r="CT9" s="3"/>
      <c r="CU9" s="3"/>
      <c r="CV9" s="3"/>
      <c r="CW9" s="3"/>
      <c r="CX9" s="3"/>
      <c r="CY9" s="2">
        <f t="shared" si="6"/>
        <v>0</v>
      </c>
      <c r="CZ9" s="2">
        <f t="shared" si="11"/>
        <v>0</v>
      </c>
      <c r="DA9" s="3"/>
      <c r="DB9" s="3"/>
      <c r="DC9" s="3"/>
      <c r="DD9" s="3"/>
      <c r="DE9" s="2">
        <f>CY9+CZ9</f>
        <v>0</v>
      </c>
      <c r="DF9" s="2"/>
      <c r="DG9" s="2" t="e">
        <f t="shared" si="7"/>
        <v>#DIV/0!</v>
      </c>
      <c r="DH9" s="37"/>
      <c r="DI9" s="37"/>
      <c r="DJ9" s="25"/>
      <c r="DK9" s="3">
        <f t="shared" si="8"/>
        <v>0</v>
      </c>
      <c r="DL9" s="1" t="e">
        <f t="shared" si="9"/>
        <v>#DIV/0!</v>
      </c>
    </row>
    <row r="10" spans="1:116" ht="15.75" customHeight="1" hidden="1">
      <c r="A10" s="19"/>
      <c r="B10" s="3"/>
      <c r="C10" s="20"/>
      <c r="D10" s="20"/>
      <c r="E10" s="20">
        <v>0</v>
      </c>
      <c r="F10" s="20"/>
      <c r="G10" s="21">
        <f t="shared" si="0"/>
        <v>0</v>
      </c>
      <c r="H10" s="20"/>
      <c r="I10" s="22" t="e">
        <f t="shared" si="1"/>
        <v>#DIV/0!</v>
      </c>
      <c r="J10" s="2">
        <f>G10-H10</f>
        <v>0</v>
      </c>
      <c r="K10" s="2">
        <f>SUM(L10:N10)</f>
        <v>0</v>
      </c>
      <c r="L10" s="3"/>
      <c r="M10" s="3"/>
      <c r="N10" s="3"/>
      <c r="O10" s="3"/>
      <c r="P10" s="3"/>
      <c r="Q10" s="3"/>
      <c r="R10" s="3">
        <v>0</v>
      </c>
      <c r="S10" s="109">
        <f>T10+AD10+AX10+AN10</f>
        <v>0</v>
      </c>
      <c r="T10" s="2">
        <f>AC10*Z10/1000</f>
        <v>0</v>
      </c>
      <c r="U10" s="3"/>
      <c r="V10" s="3"/>
      <c r="W10" s="2">
        <f>V10*U10/1000</f>
        <v>0</v>
      </c>
      <c r="X10" s="3"/>
      <c r="Y10" s="2">
        <f>X10/7000</f>
        <v>0</v>
      </c>
      <c r="Z10" s="2">
        <f>IF(Y10&lt;&gt;0,W10/Y10,0)</f>
        <v>0</v>
      </c>
      <c r="AA10" s="3"/>
      <c r="AB10" s="23"/>
      <c r="AC10" s="2">
        <f>AA10*AB10</f>
        <v>0</v>
      </c>
      <c r="AD10" s="2">
        <f>AM10*AJ10/1000</f>
        <v>0</v>
      </c>
      <c r="AE10" s="3"/>
      <c r="AF10" s="3"/>
      <c r="AG10" s="2">
        <f>AF10*AE10/1000</f>
        <v>0</v>
      </c>
      <c r="AH10" s="19"/>
      <c r="AI10" s="27">
        <f>AH10/7000</f>
        <v>0</v>
      </c>
      <c r="AJ10" s="2">
        <f>IF(AI10&lt;&gt;0,AG10/AI10,0)</f>
        <v>0</v>
      </c>
      <c r="AK10" s="3"/>
      <c r="AL10" s="23"/>
      <c r="AM10" s="2">
        <f>AK10*AL10</f>
        <v>0</v>
      </c>
      <c r="AN10" s="2">
        <f>AW10*AT10/1000</f>
        <v>0</v>
      </c>
      <c r="AO10" s="3"/>
      <c r="AP10" s="3"/>
      <c r="AQ10" s="2">
        <f>AP10*AO10/1000</f>
        <v>0</v>
      </c>
      <c r="AR10" s="3"/>
      <c r="AS10" s="2">
        <f>AR10/7000</f>
        <v>0</v>
      </c>
      <c r="AT10" s="2">
        <f>IF(AS10&lt;&gt;0,AQ10/AS10,0)</f>
        <v>0</v>
      </c>
      <c r="AU10" s="3"/>
      <c r="AV10" s="3"/>
      <c r="AW10" s="2">
        <f>AU10*AV10</f>
        <v>0</v>
      </c>
      <c r="AX10" s="2">
        <f>BH10*BD10/1000</f>
        <v>0</v>
      </c>
      <c r="AY10" s="3"/>
      <c r="AZ10" s="3"/>
      <c r="BA10" s="2">
        <f>AZ10*AY10/1000</f>
        <v>0</v>
      </c>
      <c r="BB10" s="3"/>
      <c r="BC10" s="2">
        <f>BB10/7000</f>
        <v>0</v>
      </c>
      <c r="BD10" s="2">
        <f>IF(BC10&lt;&gt;0,BA10/BC10,0)</f>
        <v>0</v>
      </c>
      <c r="BE10" s="2"/>
      <c r="BF10" s="3"/>
      <c r="BG10" s="3"/>
      <c r="BH10" s="2">
        <f>BF10*BG10</f>
        <v>0</v>
      </c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109">
        <f t="shared" si="10"/>
        <v>0</v>
      </c>
      <c r="CD10" s="2">
        <f>CF10*CI10</f>
        <v>0</v>
      </c>
      <c r="CE10" s="3"/>
      <c r="CF10" s="2">
        <f t="shared" si="2"/>
        <v>0</v>
      </c>
      <c r="CG10" s="3"/>
      <c r="CH10" s="23"/>
      <c r="CI10" s="2">
        <f>CG10*CH10</f>
        <v>0</v>
      </c>
      <c r="CJ10" s="2">
        <f>CK10*CL10/1000</f>
        <v>0</v>
      </c>
      <c r="CK10" s="2">
        <f t="shared" si="3"/>
        <v>0</v>
      </c>
      <c r="CL10" s="3"/>
      <c r="CM10" s="109"/>
      <c r="CN10" s="110"/>
      <c r="CO10" s="24" t="e">
        <f t="shared" si="4"/>
        <v>#DIV/0!</v>
      </c>
      <c r="CP10" s="110"/>
      <c r="CQ10" s="110"/>
      <c r="CR10" s="110"/>
      <c r="CS10" s="109">
        <f t="shared" si="5"/>
        <v>0</v>
      </c>
      <c r="CT10" s="3"/>
      <c r="CU10" s="3"/>
      <c r="CV10" s="3"/>
      <c r="CW10" s="3"/>
      <c r="CX10" s="3"/>
      <c r="CY10" s="2">
        <f t="shared" si="6"/>
        <v>0</v>
      </c>
      <c r="CZ10" s="2">
        <f t="shared" si="11"/>
        <v>0</v>
      </c>
      <c r="DA10" s="3"/>
      <c r="DB10" s="3"/>
      <c r="DC10" s="3"/>
      <c r="DD10" s="3"/>
      <c r="DE10" s="2">
        <f>CY10+CZ10</f>
        <v>0</v>
      </c>
      <c r="DF10" s="2"/>
      <c r="DG10" s="2" t="e">
        <f t="shared" si="7"/>
        <v>#DIV/0!</v>
      </c>
      <c r="DH10" s="37"/>
      <c r="DI10" s="37"/>
      <c r="DJ10" s="25"/>
      <c r="DK10" s="3">
        <f t="shared" si="8"/>
        <v>0</v>
      </c>
      <c r="DL10" s="1" t="e">
        <f t="shared" si="9"/>
        <v>#DIV/0!</v>
      </c>
    </row>
    <row r="11" spans="1:115" s="18" customFormat="1" ht="12.75">
      <c r="A11" s="26"/>
      <c r="B11" s="10" t="s">
        <v>74</v>
      </c>
      <c r="C11" s="11">
        <f>SUM(C12:C17)</f>
        <v>79009.685</v>
      </c>
      <c r="D11" s="11">
        <f>SUM(D12:D17)</f>
        <v>4567.886</v>
      </c>
      <c r="E11" s="11">
        <f>SUM(E12:E17)</f>
        <v>0</v>
      </c>
      <c r="F11" s="11"/>
      <c r="G11" s="12">
        <f t="shared" si="0"/>
        <v>74441.799</v>
      </c>
      <c r="H11" s="11">
        <f>SUM(H12:H17)</f>
        <v>13025.435</v>
      </c>
      <c r="I11" s="13">
        <f t="shared" si="1"/>
        <v>0.17497474772204255</v>
      </c>
      <c r="J11" s="11">
        <f aca="true" t="shared" si="12" ref="J11:U11">SUM(J12:J17)</f>
        <v>61416.364</v>
      </c>
      <c r="K11" s="11">
        <f t="shared" si="12"/>
        <v>61416.364</v>
      </c>
      <c r="L11" s="11">
        <f t="shared" si="12"/>
        <v>30504.259</v>
      </c>
      <c r="M11" s="11">
        <f t="shared" si="12"/>
        <v>26127.461000000003</v>
      </c>
      <c r="N11" s="11">
        <f t="shared" si="12"/>
        <v>4784.644</v>
      </c>
      <c r="O11" s="11">
        <f t="shared" si="12"/>
        <v>367.10499999999996</v>
      </c>
      <c r="P11" s="11">
        <f t="shared" si="12"/>
        <v>1795.076</v>
      </c>
      <c r="Q11" s="11">
        <f t="shared" si="12"/>
        <v>10522.081</v>
      </c>
      <c r="R11" s="11">
        <f t="shared" si="12"/>
        <v>0</v>
      </c>
      <c r="S11" s="11">
        <f t="shared" si="12"/>
        <v>38749.19820174938</v>
      </c>
      <c r="T11" s="11">
        <f t="shared" si="12"/>
        <v>38749.19820174938</v>
      </c>
      <c r="U11" s="11">
        <f t="shared" si="12"/>
        <v>79009.685</v>
      </c>
      <c r="V11" s="15">
        <f>W11/U11*1000</f>
        <v>229.69184687961382</v>
      </c>
      <c r="W11" s="11">
        <f>SUM(W12:W17)</f>
        <v>18147.88046902652</v>
      </c>
      <c r="X11" s="15">
        <f>Y11*7000</f>
        <v>4591.842073760644</v>
      </c>
      <c r="Y11" s="14">
        <f>W11/Z11</f>
        <v>0.6559774391086634</v>
      </c>
      <c r="Z11" s="11">
        <f>SUM(Z12:Z17)</f>
        <v>27665.403392052183</v>
      </c>
      <c r="AA11" s="15"/>
      <c r="AB11" s="16"/>
      <c r="AC11" s="14">
        <f>T11/Z11*1000</f>
        <v>1400.6373828216576</v>
      </c>
      <c r="AD11" s="11">
        <f>SUM(AD12:AD17)</f>
        <v>0</v>
      </c>
      <c r="AE11" s="11">
        <f>SUM(AE12:AE17)</f>
        <v>0</v>
      </c>
      <c r="AF11" s="15" t="e">
        <f>AG11/AE11*1000</f>
        <v>#DIV/0!</v>
      </c>
      <c r="AG11" s="11">
        <f>SUM(AG12:AG17)</f>
        <v>0</v>
      </c>
      <c r="AH11" s="26" t="e">
        <f>AI11*7000</f>
        <v>#DIV/0!</v>
      </c>
      <c r="AI11" s="98" t="e">
        <f>AG11/AJ11</f>
        <v>#DIV/0!</v>
      </c>
      <c r="AJ11" s="11">
        <f>SUM(AJ12:AJ17)</f>
        <v>0</v>
      </c>
      <c r="AK11" s="15"/>
      <c r="AL11" s="16"/>
      <c r="AM11" s="14" t="e">
        <f>AD11/AJ11*1000</f>
        <v>#DIV/0!</v>
      </c>
      <c r="AN11" s="11">
        <f>SUM(AN12:AN17)</f>
        <v>0</v>
      </c>
      <c r="AO11" s="11">
        <f>SUM(AO12:AO17)</f>
        <v>0</v>
      </c>
      <c r="AP11" s="15" t="e">
        <f>AQ11/AO11*1000</f>
        <v>#DIV/0!</v>
      </c>
      <c r="AQ11" s="11">
        <f>SUM(AQ12:AQ17)</f>
        <v>0</v>
      </c>
      <c r="AR11" s="15" t="e">
        <f>AS11*7000</f>
        <v>#DIV/0!</v>
      </c>
      <c r="AS11" s="14" t="e">
        <f>AQ11/AT11</f>
        <v>#DIV/0!</v>
      </c>
      <c r="AT11" s="11">
        <f>SUM(AT12:AT17)</f>
        <v>0</v>
      </c>
      <c r="AU11" s="15"/>
      <c r="AV11" s="16"/>
      <c r="AW11" s="14" t="e">
        <f>AN11/AT11*1000</f>
        <v>#DIV/0!</v>
      </c>
      <c r="AX11" s="11">
        <f>SUM(AX12:AX17)</f>
        <v>0</v>
      </c>
      <c r="AY11" s="11">
        <f>SUM(AY12:AY17)</f>
        <v>0</v>
      </c>
      <c r="AZ11" s="15" t="e">
        <f>BA11/AY11*1000</f>
        <v>#DIV/0!</v>
      </c>
      <c r="BA11" s="11">
        <f>SUM(BA12:BA17)</f>
        <v>0</v>
      </c>
      <c r="BB11" s="15" t="e">
        <f>BC11*7000</f>
        <v>#DIV/0!</v>
      </c>
      <c r="BC11" s="14" t="e">
        <f>BA11/BD11</f>
        <v>#DIV/0!</v>
      </c>
      <c r="BD11" s="11">
        <f>SUM(BD12:BD17)</f>
        <v>0</v>
      </c>
      <c r="BE11" s="11"/>
      <c r="BF11" s="15"/>
      <c r="BG11" s="16"/>
      <c r="BH11" s="14" t="e">
        <f>AX11/BD11*1000</f>
        <v>#DIV/0!</v>
      </c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1">
        <f>SUM(CC12:CC17)</f>
        <v>15237.808</v>
      </c>
      <c r="CD11" s="113">
        <f>SUM(CD12:CD17)</f>
        <v>15237.808</v>
      </c>
      <c r="CE11" s="14">
        <f>CF11/C11*1000</f>
        <v>46.88647683502482</v>
      </c>
      <c r="CF11" s="11">
        <f>SUM(CF12:CF17)</f>
        <v>3704.4857654951084</v>
      </c>
      <c r="CG11" s="14"/>
      <c r="CH11" s="14"/>
      <c r="CI11" s="14">
        <f>CD11/CF11</f>
        <v>4.113339600851038</v>
      </c>
      <c r="CJ11" s="11">
        <f>SUM(CJ12:CJ17)</f>
        <v>0</v>
      </c>
      <c r="CK11" s="11">
        <f>SUM(CK12:CK17)</f>
        <v>0</v>
      </c>
      <c r="CL11" s="14">
        <f>IF(CK11&lt;&gt;0,CJ11/CK11,0)</f>
        <v>0</v>
      </c>
      <c r="CM11" s="12">
        <f>SUM(CM12:CM17)</f>
        <v>30585.870999999996</v>
      </c>
      <c r="CN11" s="11">
        <f>SUM(CN12:CN17)</f>
        <v>9236.936</v>
      </c>
      <c r="CO11" s="13">
        <f t="shared" si="4"/>
        <v>0.30200009671132144</v>
      </c>
      <c r="CP11" s="11">
        <f>SUM(CP12:CP17)</f>
        <v>78.65</v>
      </c>
      <c r="CQ11" s="11"/>
      <c r="CR11" s="11">
        <f aca="true" t="shared" si="13" ref="CR11:CX11">SUM(CR12:CR17)</f>
        <v>10769.547999999999</v>
      </c>
      <c r="CS11" s="11">
        <f t="shared" si="13"/>
        <v>19532.193</v>
      </c>
      <c r="CT11" s="11">
        <f t="shared" si="13"/>
        <v>4301.573</v>
      </c>
      <c r="CU11" s="11">
        <f t="shared" si="13"/>
        <v>10212.265000000001</v>
      </c>
      <c r="CV11" s="11">
        <f t="shared" si="13"/>
        <v>5018.355</v>
      </c>
      <c r="CW11" s="11">
        <f t="shared" si="13"/>
        <v>0</v>
      </c>
      <c r="CX11" s="115">
        <f t="shared" si="13"/>
        <v>0</v>
      </c>
      <c r="CY11" s="116">
        <f t="shared" si="6"/>
        <v>136874.46620174937</v>
      </c>
      <c r="CZ11" s="115">
        <f aca="true" t="shared" si="14" ref="CZ11:DE11">SUM(CZ12:CZ17)</f>
        <v>2580.904</v>
      </c>
      <c r="DA11" s="11">
        <f t="shared" si="14"/>
        <v>0</v>
      </c>
      <c r="DB11" s="11">
        <f t="shared" si="14"/>
        <v>0</v>
      </c>
      <c r="DC11" s="11">
        <f t="shared" si="14"/>
        <v>2580.904</v>
      </c>
      <c r="DD11" s="11">
        <f t="shared" si="14"/>
        <v>0</v>
      </c>
      <c r="DE11" s="11">
        <f t="shared" si="14"/>
        <v>139455.37020174938</v>
      </c>
      <c r="DF11" s="11"/>
      <c r="DG11" s="14">
        <f t="shared" si="7"/>
        <v>2270.654938181449</v>
      </c>
      <c r="DH11" s="38"/>
      <c r="DI11" s="38"/>
      <c r="DJ11" s="17"/>
      <c r="DK11" s="11">
        <f>SUM(DK12:DK17)</f>
        <v>6175.299</v>
      </c>
    </row>
    <row r="12" spans="1:116" ht="15.75" customHeight="1">
      <c r="A12" s="19">
        <v>1</v>
      </c>
      <c r="B12" s="3" t="s">
        <v>75</v>
      </c>
      <c r="C12" s="20">
        <v>18134.79</v>
      </c>
      <c r="D12" s="20">
        <v>1188.65</v>
      </c>
      <c r="E12" s="20">
        <v>0</v>
      </c>
      <c r="F12" s="20"/>
      <c r="G12" s="21">
        <f t="shared" si="0"/>
        <v>16946.14</v>
      </c>
      <c r="H12" s="20">
        <v>1637.51</v>
      </c>
      <c r="I12" s="22">
        <f t="shared" si="1"/>
        <v>0.09663026506331236</v>
      </c>
      <c r="J12" s="2">
        <f aca="true" t="shared" si="15" ref="J12:J18">G12-H12</f>
        <v>15308.63</v>
      </c>
      <c r="K12" s="2">
        <f aca="true" t="shared" si="16" ref="K12:K17">SUM(L12:N12)</f>
        <v>15308.63</v>
      </c>
      <c r="L12" s="3">
        <v>6488.12</v>
      </c>
      <c r="M12" s="3">
        <v>8629.14</v>
      </c>
      <c r="N12" s="3">
        <v>191.37</v>
      </c>
      <c r="O12" s="3">
        <v>115.795</v>
      </c>
      <c r="P12" s="3">
        <v>156.11</v>
      </c>
      <c r="Q12" s="3">
        <v>2147.3</v>
      </c>
      <c r="R12" s="3">
        <v>0</v>
      </c>
      <c r="S12" s="2">
        <f aca="true" t="shared" si="17" ref="S12:S18">T12+AD12+AX12+AN12</f>
        <v>6860.0124158541585</v>
      </c>
      <c r="T12" s="2">
        <f aca="true" t="shared" si="18" ref="T12:T18">AC12*Z12/1000</f>
        <v>6860.0124158541585</v>
      </c>
      <c r="U12" s="3">
        <v>18134.79</v>
      </c>
      <c r="V12" s="3">
        <v>224.25</v>
      </c>
      <c r="W12" s="2">
        <f aca="true" t="shared" si="19" ref="W12:W18">V12*U12/1000</f>
        <v>4066.7266575000003</v>
      </c>
      <c r="X12" s="3">
        <v>4100</v>
      </c>
      <c r="Y12" s="2">
        <f aca="true" t="shared" si="20" ref="Y12:Y18">X12/7000</f>
        <v>0.5857142857142857</v>
      </c>
      <c r="Z12" s="2">
        <f aca="true" t="shared" si="21" ref="Z12:Z18">IF(Y12&lt;&gt;0,W12/Y12,0)</f>
        <v>6943.191854268293</v>
      </c>
      <c r="AA12" s="3">
        <v>990</v>
      </c>
      <c r="AB12" s="23">
        <v>0.998</v>
      </c>
      <c r="AC12" s="2">
        <f aca="true" t="shared" si="22" ref="AC12:AC17">AA12*AB12</f>
        <v>988.02</v>
      </c>
      <c r="AD12" s="2">
        <f aca="true" t="shared" si="23" ref="AD12:AD17">AM12*AJ12/1000</f>
        <v>0</v>
      </c>
      <c r="AE12" s="3"/>
      <c r="AF12" s="3"/>
      <c r="AG12" s="2">
        <f aca="true" t="shared" si="24" ref="AG12:AG18">AF12*AE12/1000</f>
        <v>0</v>
      </c>
      <c r="AH12" s="19"/>
      <c r="AI12" s="27">
        <f aca="true" t="shared" si="25" ref="AI12:AI17">AH12/7000</f>
        <v>0</v>
      </c>
      <c r="AJ12" s="2">
        <f aca="true" t="shared" si="26" ref="AJ12:AJ17">IF(AI12&lt;&gt;0,AG12/AI12,0)</f>
        <v>0</v>
      </c>
      <c r="AK12" s="3"/>
      <c r="AL12" s="23"/>
      <c r="AM12" s="2">
        <f aca="true" t="shared" si="27" ref="AM12:AM17">AK12*AL12</f>
        <v>0</v>
      </c>
      <c r="AN12" s="2">
        <f aca="true" t="shared" si="28" ref="AN12:AN17">AW12*AT12/1000</f>
        <v>0</v>
      </c>
      <c r="AO12" s="3"/>
      <c r="AP12" s="3"/>
      <c r="AQ12" s="2">
        <f aca="true" t="shared" si="29" ref="AQ12:AQ18">AP12*AO12/1000</f>
        <v>0</v>
      </c>
      <c r="AR12" s="3"/>
      <c r="AS12" s="2">
        <f aca="true" t="shared" si="30" ref="AS12:AS17">AR12/7000</f>
        <v>0</v>
      </c>
      <c r="AT12" s="2">
        <f aca="true" t="shared" si="31" ref="AT12:AT17">IF(AS12&lt;&gt;0,AQ12/AS12,0)</f>
        <v>0</v>
      </c>
      <c r="AU12" s="3"/>
      <c r="AV12" s="3"/>
      <c r="AW12" s="2">
        <f aca="true" t="shared" si="32" ref="AW12:AW17">AU12*AV12</f>
        <v>0</v>
      </c>
      <c r="AX12" s="2">
        <f aca="true" t="shared" si="33" ref="AX12:AX17">BG12*BD12/1000</f>
        <v>0</v>
      </c>
      <c r="AY12" s="3"/>
      <c r="AZ12" s="3"/>
      <c r="BA12" s="2">
        <f aca="true" t="shared" si="34" ref="BA12:BA18">AZ12*AY12/1000</f>
        <v>0</v>
      </c>
      <c r="BB12" s="3"/>
      <c r="BC12" s="2">
        <f aca="true" t="shared" si="35" ref="BC12:BC18">BB12/7000</f>
        <v>0</v>
      </c>
      <c r="BD12" s="2">
        <f aca="true" t="shared" si="36" ref="BD12:BD18">IF(BC12&lt;&gt;0,BA12/BC12,0)</f>
        <v>0</v>
      </c>
      <c r="BE12" s="3"/>
      <c r="BF12" s="3"/>
      <c r="BG12" s="2">
        <f aca="true" t="shared" si="37" ref="BG12:BG17">BE12*BF12</f>
        <v>0</v>
      </c>
      <c r="BH12" s="2">
        <f aca="true" t="shared" si="38" ref="BH12:BH17">CD12+CJ12</f>
        <v>3867.2290000000003</v>
      </c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CC12" s="109">
        <f t="shared" si="10"/>
        <v>3867.2290000000003</v>
      </c>
      <c r="CD12" s="2">
        <f aca="true" t="shared" si="39" ref="CD12:CD18">CF12*CI12</f>
        <v>3867.2290000000003</v>
      </c>
      <c r="CE12" s="3">
        <v>52.21167162531289</v>
      </c>
      <c r="CF12" s="2">
        <f aca="true" t="shared" si="40" ref="CF12:CF18">CE12*C12/1000</f>
        <v>946.847700474008</v>
      </c>
      <c r="CG12" s="3">
        <v>3.81</v>
      </c>
      <c r="CH12" s="23">
        <v>1.072</v>
      </c>
      <c r="CI12" s="2">
        <f aca="true" t="shared" si="41" ref="CI12:CI18">CG12*CH12</f>
        <v>4.08432</v>
      </c>
      <c r="CJ12" s="2">
        <f aca="true" t="shared" si="42" ref="CJ12:CJ18">CK12*CL12/1000</f>
        <v>0</v>
      </c>
      <c r="CK12" s="2">
        <f aca="true" t="shared" si="43" ref="CK12:CK18">E12</f>
        <v>0</v>
      </c>
      <c r="CL12" s="3"/>
      <c r="CM12" s="3">
        <v>10482.8</v>
      </c>
      <c r="CN12" s="3">
        <v>3165.806</v>
      </c>
      <c r="CO12" s="24">
        <f>CN12/CM12</f>
        <v>0.3020000381577441</v>
      </c>
      <c r="CP12" s="3"/>
      <c r="CQ12" s="3"/>
      <c r="CR12" s="3">
        <v>2425.351</v>
      </c>
      <c r="CS12" s="2">
        <f aca="true" t="shared" si="44" ref="CS12:CS18">SUM(CT12:CV12)</f>
        <v>4569.227</v>
      </c>
      <c r="CT12" s="3">
        <v>776.44</v>
      </c>
      <c r="CU12" s="3">
        <v>2400.451</v>
      </c>
      <c r="CV12" s="3">
        <v>1392.336</v>
      </c>
      <c r="CW12" s="3"/>
      <c r="CX12" s="2"/>
      <c r="CY12" s="2">
        <f t="shared" si="6"/>
        <v>33789.63041585416</v>
      </c>
      <c r="CZ12" s="2">
        <f t="shared" si="11"/>
        <v>337.9</v>
      </c>
      <c r="DA12" s="3"/>
      <c r="DB12" s="3"/>
      <c r="DC12" s="3">
        <v>337.9</v>
      </c>
      <c r="DD12" s="3"/>
      <c r="DE12" s="2">
        <f aca="true" t="shared" si="45" ref="DE12:DE17">CY12+CZ12</f>
        <v>34127.53041585416</v>
      </c>
      <c r="DF12" s="2" t="s">
        <v>130</v>
      </c>
      <c r="DG12" s="2">
        <f t="shared" si="7"/>
        <v>2229.3001016978114</v>
      </c>
      <c r="DH12" s="37">
        <v>2179.82</v>
      </c>
      <c r="DI12" s="37">
        <v>2278.78</v>
      </c>
      <c r="DJ12" s="28" t="s">
        <v>70</v>
      </c>
      <c r="DK12" s="3">
        <f>P12+CP12+CT12+DA12+R12</f>
        <v>932.5500000000001</v>
      </c>
      <c r="DL12" s="1" t="e">
        <f>DK12/#REF!</f>
        <v>#REF!</v>
      </c>
    </row>
    <row r="13" spans="1:116" ht="15.75" customHeight="1">
      <c r="A13" s="19">
        <v>2</v>
      </c>
      <c r="B13" s="3" t="s">
        <v>109</v>
      </c>
      <c r="C13" s="20">
        <v>16558.471</v>
      </c>
      <c r="D13" s="20">
        <v>455.7</v>
      </c>
      <c r="E13" s="20">
        <v>0</v>
      </c>
      <c r="F13" s="20"/>
      <c r="G13" s="21">
        <f t="shared" si="0"/>
        <v>16102.771</v>
      </c>
      <c r="H13" s="20">
        <v>2350.3</v>
      </c>
      <c r="I13" s="22">
        <f t="shared" si="1"/>
        <v>0.145956245667283</v>
      </c>
      <c r="J13" s="2">
        <f t="shared" si="15"/>
        <v>13752.471000000001</v>
      </c>
      <c r="K13" s="2">
        <f t="shared" si="16"/>
        <v>13752.471</v>
      </c>
      <c r="L13" s="3">
        <v>9207.48</v>
      </c>
      <c r="M13" s="3">
        <v>3450.726</v>
      </c>
      <c r="N13" s="3">
        <v>1094.265</v>
      </c>
      <c r="O13" s="3">
        <v>40.128</v>
      </c>
      <c r="P13" s="3">
        <v>490.631</v>
      </c>
      <c r="Q13" s="3">
        <v>2139.89</v>
      </c>
      <c r="R13" s="3">
        <v>0</v>
      </c>
      <c r="S13" s="2">
        <f t="shared" si="17"/>
        <v>8911.434565217376</v>
      </c>
      <c r="T13" s="2">
        <f t="shared" si="18"/>
        <v>8911.434565217376</v>
      </c>
      <c r="U13" s="3">
        <v>16558.471</v>
      </c>
      <c r="V13" s="3">
        <v>227.833</v>
      </c>
      <c r="W13" s="2">
        <f t="shared" si="19"/>
        <v>3772.566123343</v>
      </c>
      <c r="X13" s="3">
        <v>4425</v>
      </c>
      <c r="Y13" s="2">
        <f t="shared" si="20"/>
        <v>0.6321428571428571</v>
      </c>
      <c r="Z13" s="2">
        <f t="shared" si="21"/>
        <v>5967.901212068023</v>
      </c>
      <c r="AA13" s="3">
        <v>1496.22</v>
      </c>
      <c r="AB13" s="23">
        <v>0.998</v>
      </c>
      <c r="AC13" s="2">
        <f t="shared" si="22"/>
        <v>1493.22756</v>
      </c>
      <c r="AD13" s="2">
        <f t="shared" si="23"/>
        <v>0</v>
      </c>
      <c r="AE13" s="3"/>
      <c r="AF13" s="3"/>
      <c r="AG13" s="2">
        <f t="shared" si="24"/>
        <v>0</v>
      </c>
      <c r="AH13" s="19"/>
      <c r="AI13" s="27">
        <f t="shared" si="25"/>
        <v>0</v>
      </c>
      <c r="AJ13" s="2">
        <f t="shared" si="26"/>
        <v>0</v>
      </c>
      <c r="AK13" s="3"/>
      <c r="AL13" s="23"/>
      <c r="AM13" s="2">
        <f t="shared" si="27"/>
        <v>0</v>
      </c>
      <c r="AN13" s="2">
        <f t="shared" si="28"/>
        <v>0</v>
      </c>
      <c r="AO13" s="3"/>
      <c r="AP13" s="3"/>
      <c r="AQ13" s="2">
        <f t="shared" si="29"/>
        <v>0</v>
      </c>
      <c r="AR13" s="3"/>
      <c r="AS13" s="2">
        <f t="shared" si="30"/>
        <v>0</v>
      </c>
      <c r="AT13" s="2">
        <f t="shared" si="31"/>
        <v>0</v>
      </c>
      <c r="AU13" s="3"/>
      <c r="AV13" s="3"/>
      <c r="AW13" s="2">
        <f t="shared" si="32"/>
        <v>0</v>
      </c>
      <c r="AX13" s="2">
        <f t="shared" si="33"/>
        <v>0</v>
      </c>
      <c r="AY13" s="3"/>
      <c r="AZ13" s="3"/>
      <c r="BA13" s="2">
        <f t="shared" si="34"/>
        <v>0</v>
      </c>
      <c r="BB13" s="3"/>
      <c r="BC13" s="2">
        <f t="shared" si="35"/>
        <v>0</v>
      </c>
      <c r="BD13" s="2">
        <f t="shared" si="36"/>
        <v>0</v>
      </c>
      <c r="BE13" s="3"/>
      <c r="BF13" s="3"/>
      <c r="BG13" s="2">
        <f t="shared" si="37"/>
        <v>0</v>
      </c>
      <c r="BH13" s="2">
        <f t="shared" si="38"/>
        <v>3621.5480000000002</v>
      </c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CC13" s="109">
        <f t="shared" si="10"/>
        <v>3621.5480000000002</v>
      </c>
      <c r="CD13" s="2">
        <f t="shared" si="39"/>
        <v>3621.5480000000002</v>
      </c>
      <c r="CE13" s="3">
        <v>42.389995151151666</v>
      </c>
      <c r="CF13" s="2">
        <f t="shared" si="40"/>
        <v>701.9135054004856</v>
      </c>
      <c r="CG13" s="3">
        <v>4.813</v>
      </c>
      <c r="CH13" s="23">
        <v>1.072</v>
      </c>
      <c r="CI13" s="2">
        <f t="shared" si="41"/>
        <v>5.159536</v>
      </c>
      <c r="CJ13" s="2">
        <f t="shared" si="42"/>
        <v>0</v>
      </c>
      <c r="CK13" s="2">
        <f t="shared" si="43"/>
        <v>0</v>
      </c>
      <c r="CL13" s="3"/>
      <c r="CM13" s="3">
        <v>5025.338</v>
      </c>
      <c r="CN13" s="3">
        <v>1517.652</v>
      </c>
      <c r="CO13" s="24">
        <f>CN13/CM13</f>
        <v>0.30199998487663915</v>
      </c>
      <c r="CP13" s="3"/>
      <c r="CQ13" s="3"/>
      <c r="CR13" s="3">
        <v>2877.341</v>
      </c>
      <c r="CS13" s="2">
        <f t="shared" si="44"/>
        <v>5900.395</v>
      </c>
      <c r="CT13" s="3">
        <v>1727.768</v>
      </c>
      <c r="CU13" s="3">
        <v>2971.987</v>
      </c>
      <c r="CV13" s="3">
        <v>1200.64</v>
      </c>
      <c r="CW13" s="3"/>
      <c r="CX13" s="2"/>
      <c r="CY13" s="2">
        <f t="shared" si="6"/>
        <v>30524.35756521738</v>
      </c>
      <c r="CZ13" s="2">
        <f t="shared" si="11"/>
        <v>915.73</v>
      </c>
      <c r="DA13" s="3"/>
      <c r="DB13" s="3"/>
      <c r="DC13" s="3">
        <v>915.73</v>
      </c>
      <c r="DD13" s="3"/>
      <c r="DE13" s="2">
        <f t="shared" si="45"/>
        <v>31440.087565217378</v>
      </c>
      <c r="DF13" s="2" t="s">
        <v>131</v>
      </c>
      <c r="DG13" s="2">
        <f t="shared" si="7"/>
        <v>2286.140982607226</v>
      </c>
      <c r="DH13" s="37">
        <v>2135.6</v>
      </c>
      <c r="DI13" s="37">
        <v>2233.41</v>
      </c>
      <c r="DJ13" s="28" t="s">
        <v>70</v>
      </c>
      <c r="DK13" s="3">
        <f aca="true" t="shared" si="46" ref="DK13:DK18">P13+CP13+CT13+DA13+R13</f>
        <v>2218.399</v>
      </c>
      <c r="DL13" s="1" t="e">
        <f>DK13/#REF!</f>
        <v>#REF!</v>
      </c>
    </row>
    <row r="14" spans="1:116" ht="15.75" customHeight="1">
      <c r="A14" s="19">
        <v>3</v>
      </c>
      <c r="B14" s="3" t="s">
        <v>76</v>
      </c>
      <c r="C14" s="20">
        <v>11953.99</v>
      </c>
      <c r="D14" s="20">
        <v>1220.4</v>
      </c>
      <c r="E14" s="20">
        <v>0</v>
      </c>
      <c r="F14" s="20"/>
      <c r="G14" s="21">
        <f t="shared" si="0"/>
        <v>10733.59</v>
      </c>
      <c r="H14" s="20">
        <v>1300.85</v>
      </c>
      <c r="I14" s="22">
        <f t="shared" si="1"/>
        <v>0.1211943068442152</v>
      </c>
      <c r="J14" s="2">
        <f t="shared" si="15"/>
        <v>9432.74</v>
      </c>
      <c r="K14" s="2">
        <f t="shared" si="16"/>
        <v>9432.74</v>
      </c>
      <c r="L14" s="3"/>
      <c r="M14" s="3">
        <v>9432.74</v>
      </c>
      <c r="N14" s="3"/>
      <c r="O14" s="3">
        <v>54.368</v>
      </c>
      <c r="P14" s="3">
        <v>593.65</v>
      </c>
      <c r="Q14" s="3">
        <v>3892.584</v>
      </c>
      <c r="R14" s="3">
        <v>0</v>
      </c>
      <c r="S14" s="2">
        <f t="shared" si="17"/>
        <v>4981.605367907739</v>
      </c>
      <c r="T14" s="2">
        <f t="shared" si="18"/>
        <v>4981.605367907739</v>
      </c>
      <c r="U14" s="3">
        <v>11953.99</v>
      </c>
      <c r="V14" s="3">
        <v>250.058</v>
      </c>
      <c r="W14" s="2">
        <f t="shared" si="19"/>
        <v>2989.1908314199995</v>
      </c>
      <c r="X14" s="3">
        <v>4150</v>
      </c>
      <c r="Y14" s="2">
        <f t="shared" si="20"/>
        <v>0.5928571428571429</v>
      </c>
      <c r="Z14" s="2">
        <f t="shared" si="21"/>
        <v>5042.008631310842</v>
      </c>
      <c r="AA14" s="3">
        <v>990</v>
      </c>
      <c r="AB14" s="23">
        <v>0.998</v>
      </c>
      <c r="AC14" s="2">
        <f t="shared" si="22"/>
        <v>988.02</v>
      </c>
      <c r="AD14" s="2">
        <f t="shared" si="23"/>
        <v>0</v>
      </c>
      <c r="AE14" s="3"/>
      <c r="AF14" s="3"/>
      <c r="AG14" s="2">
        <f t="shared" si="24"/>
        <v>0</v>
      </c>
      <c r="AH14" s="19"/>
      <c r="AI14" s="27">
        <f t="shared" si="25"/>
        <v>0</v>
      </c>
      <c r="AJ14" s="2">
        <f t="shared" si="26"/>
        <v>0</v>
      </c>
      <c r="AK14" s="3"/>
      <c r="AL14" s="23"/>
      <c r="AM14" s="2">
        <f t="shared" si="27"/>
        <v>0</v>
      </c>
      <c r="AN14" s="2">
        <f t="shared" si="28"/>
        <v>0</v>
      </c>
      <c r="AO14" s="3"/>
      <c r="AP14" s="3"/>
      <c r="AQ14" s="2">
        <f t="shared" si="29"/>
        <v>0</v>
      </c>
      <c r="AR14" s="3"/>
      <c r="AS14" s="2">
        <f t="shared" si="30"/>
        <v>0</v>
      </c>
      <c r="AT14" s="2">
        <f t="shared" si="31"/>
        <v>0</v>
      </c>
      <c r="AU14" s="3"/>
      <c r="AV14" s="3"/>
      <c r="AW14" s="2">
        <f t="shared" si="32"/>
        <v>0</v>
      </c>
      <c r="AX14" s="2">
        <f t="shared" si="33"/>
        <v>0</v>
      </c>
      <c r="AY14" s="3"/>
      <c r="AZ14" s="3"/>
      <c r="BA14" s="2">
        <f t="shared" si="34"/>
        <v>0</v>
      </c>
      <c r="BB14" s="3"/>
      <c r="BC14" s="2">
        <f t="shared" si="35"/>
        <v>0</v>
      </c>
      <c r="BD14" s="2">
        <f t="shared" si="36"/>
        <v>0</v>
      </c>
      <c r="BE14" s="3"/>
      <c r="BF14" s="3"/>
      <c r="BG14" s="2">
        <f t="shared" si="37"/>
        <v>0</v>
      </c>
      <c r="BH14" s="2">
        <f t="shared" si="38"/>
        <v>3936.7730000000006</v>
      </c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CC14" s="109">
        <f t="shared" si="10"/>
        <v>3936.7730000000006</v>
      </c>
      <c r="CD14" s="2">
        <f t="shared" si="39"/>
        <v>3936.7730000000006</v>
      </c>
      <c r="CE14" s="3">
        <v>90.970721524</v>
      </c>
      <c r="CF14" s="2">
        <f t="shared" si="40"/>
        <v>1087.4630953906808</v>
      </c>
      <c r="CG14" s="3">
        <v>3.377</v>
      </c>
      <c r="CH14" s="23">
        <v>1.072</v>
      </c>
      <c r="CI14" s="2">
        <f t="shared" si="41"/>
        <v>3.620144</v>
      </c>
      <c r="CJ14" s="2">
        <f t="shared" si="42"/>
        <v>0</v>
      </c>
      <c r="CK14" s="2">
        <f t="shared" si="43"/>
        <v>0</v>
      </c>
      <c r="CL14" s="3"/>
      <c r="CM14" s="3">
        <v>7775.564</v>
      </c>
      <c r="CN14" s="3">
        <v>2348.22</v>
      </c>
      <c r="CO14" s="24">
        <f>CN14/CM14</f>
        <v>0.3019999578165648</v>
      </c>
      <c r="CP14" s="3"/>
      <c r="CQ14" s="3"/>
      <c r="CR14" s="3">
        <v>4887.127</v>
      </c>
      <c r="CS14" s="2">
        <f t="shared" si="44"/>
        <v>3426.1410000000005</v>
      </c>
      <c r="CT14" s="3">
        <v>376.42</v>
      </c>
      <c r="CU14" s="3">
        <v>2181.26</v>
      </c>
      <c r="CV14" s="3">
        <v>868.461</v>
      </c>
      <c r="CW14" s="3"/>
      <c r="CX14" s="2"/>
      <c r="CY14" s="2">
        <f t="shared" si="6"/>
        <v>31896.03236790774</v>
      </c>
      <c r="CZ14" s="2">
        <f t="shared" si="11"/>
        <v>956.88</v>
      </c>
      <c r="DA14" s="3"/>
      <c r="DB14" s="3"/>
      <c r="DC14" s="3">
        <v>956.88</v>
      </c>
      <c r="DD14" s="3"/>
      <c r="DE14" s="2">
        <f t="shared" si="45"/>
        <v>32852.91236790774</v>
      </c>
      <c r="DF14" s="2" t="s">
        <v>132</v>
      </c>
      <c r="DG14" s="2">
        <f t="shared" si="7"/>
        <v>3482.8599503333858</v>
      </c>
      <c r="DH14" s="37">
        <v>3405.89</v>
      </c>
      <c r="DI14" s="37">
        <v>3559.83</v>
      </c>
      <c r="DJ14" s="28" t="s">
        <v>70</v>
      </c>
      <c r="DK14" s="3">
        <f t="shared" si="46"/>
        <v>970.0699999999999</v>
      </c>
      <c r="DL14" s="1" t="e">
        <f>DK14/#REF!</f>
        <v>#REF!</v>
      </c>
    </row>
    <row r="15" spans="1:116" ht="15.75" customHeight="1">
      <c r="A15" s="19">
        <v>4</v>
      </c>
      <c r="B15" s="3" t="s">
        <v>77</v>
      </c>
      <c r="C15" s="20">
        <v>18214.971</v>
      </c>
      <c r="D15" s="20">
        <v>761.386</v>
      </c>
      <c r="E15" s="20">
        <v>0</v>
      </c>
      <c r="F15" s="20"/>
      <c r="G15" s="21">
        <f t="shared" si="0"/>
        <v>17453.585000000003</v>
      </c>
      <c r="H15" s="20">
        <v>5890.585</v>
      </c>
      <c r="I15" s="22">
        <f t="shared" si="1"/>
        <v>0.33750000358092613</v>
      </c>
      <c r="J15" s="2">
        <f t="shared" si="15"/>
        <v>11563.000000000004</v>
      </c>
      <c r="K15" s="2">
        <f t="shared" si="16"/>
        <v>11563</v>
      </c>
      <c r="L15" s="3">
        <v>8742.329</v>
      </c>
      <c r="M15" s="3">
        <v>2630.042</v>
      </c>
      <c r="N15" s="3">
        <v>190.629</v>
      </c>
      <c r="O15" s="3">
        <v>95.374</v>
      </c>
      <c r="P15" s="3">
        <v>554.685</v>
      </c>
      <c r="Q15" s="3">
        <v>365.448</v>
      </c>
      <c r="R15" s="3">
        <v>0</v>
      </c>
      <c r="S15" s="2">
        <f t="shared" si="17"/>
        <v>10026.074000000004</v>
      </c>
      <c r="T15" s="2">
        <f t="shared" si="18"/>
        <v>10026.074000000004</v>
      </c>
      <c r="U15" s="3">
        <v>18214.971</v>
      </c>
      <c r="V15" s="3">
        <v>223.04771382581504</v>
      </c>
      <c r="W15" s="2">
        <f t="shared" si="19"/>
        <v>4062.8076389535204</v>
      </c>
      <c r="X15" s="3">
        <v>5436</v>
      </c>
      <c r="Y15" s="2">
        <f t="shared" si="20"/>
        <v>0.7765714285714286</v>
      </c>
      <c r="Z15" s="2">
        <f t="shared" si="21"/>
        <v>5231.724332721605</v>
      </c>
      <c r="AA15" s="3">
        <v>1920.24</v>
      </c>
      <c r="AB15" s="23">
        <v>0.998</v>
      </c>
      <c r="AC15" s="2">
        <f t="shared" si="22"/>
        <v>1916.39952</v>
      </c>
      <c r="AD15" s="2">
        <f t="shared" si="23"/>
        <v>0</v>
      </c>
      <c r="AE15" s="3"/>
      <c r="AF15" s="3"/>
      <c r="AG15" s="2">
        <f t="shared" si="24"/>
        <v>0</v>
      </c>
      <c r="AH15" s="19"/>
      <c r="AI15" s="27">
        <f t="shared" si="25"/>
        <v>0</v>
      </c>
      <c r="AJ15" s="2">
        <f t="shared" si="26"/>
        <v>0</v>
      </c>
      <c r="AK15" s="3"/>
      <c r="AL15" s="23"/>
      <c r="AM15" s="2">
        <f t="shared" si="27"/>
        <v>0</v>
      </c>
      <c r="AN15" s="2">
        <f t="shared" si="28"/>
        <v>0</v>
      </c>
      <c r="AO15" s="3"/>
      <c r="AP15" s="3"/>
      <c r="AQ15" s="2">
        <f t="shared" si="29"/>
        <v>0</v>
      </c>
      <c r="AR15" s="3"/>
      <c r="AS15" s="2">
        <f t="shared" si="30"/>
        <v>0</v>
      </c>
      <c r="AT15" s="2">
        <f t="shared" si="31"/>
        <v>0</v>
      </c>
      <c r="AU15" s="3"/>
      <c r="AV15" s="3"/>
      <c r="AW15" s="2">
        <f t="shared" si="32"/>
        <v>0</v>
      </c>
      <c r="AX15" s="2">
        <f t="shared" si="33"/>
        <v>0</v>
      </c>
      <c r="AY15" s="3"/>
      <c r="AZ15" s="3"/>
      <c r="BA15" s="2">
        <f t="shared" si="34"/>
        <v>0</v>
      </c>
      <c r="BB15" s="3"/>
      <c r="BC15" s="2">
        <f t="shared" si="35"/>
        <v>0</v>
      </c>
      <c r="BD15" s="2">
        <f t="shared" si="36"/>
        <v>0</v>
      </c>
      <c r="BE15" s="3"/>
      <c r="BF15" s="3"/>
      <c r="BG15" s="2">
        <f t="shared" si="37"/>
        <v>0</v>
      </c>
      <c r="BH15" s="2">
        <f t="shared" si="38"/>
        <v>1126.582</v>
      </c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CC15" s="109">
        <f t="shared" si="10"/>
        <v>1126.582</v>
      </c>
      <c r="CD15" s="2">
        <f t="shared" si="39"/>
        <v>1126.582</v>
      </c>
      <c r="CE15" s="3">
        <v>16.522102171126445</v>
      </c>
      <c r="CF15" s="2">
        <f t="shared" si="40"/>
        <v>300.94961190610525</v>
      </c>
      <c r="CG15" s="3">
        <v>3.492</v>
      </c>
      <c r="CH15" s="23">
        <v>1.072</v>
      </c>
      <c r="CI15" s="2">
        <f t="shared" si="41"/>
        <v>3.743424</v>
      </c>
      <c r="CJ15" s="2">
        <f t="shared" si="42"/>
        <v>0</v>
      </c>
      <c r="CK15" s="2">
        <f t="shared" si="43"/>
        <v>0</v>
      </c>
      <c r="CL15" s="3"/>
      <c r="CM15" s="3">
        <v>4307.971</v>
      </c>
      <c r="CN15" s="3">
        <v>1301.008</v>
      </c>
      <c r="CO15" s="24">
        <f>CN15/CM15</f>
        <v>0.30200017595290224</v>
      </c>
      <c r="CP15" s="3"/>
      <c r="CQ15" s="3"/>
      <c r="CR15" s="3">
        <v>535.304</v>
      </c>
      <c r="CS15" s="2">
        <f t="shared" si="44"/>
        <v>3874.1969999999997</v>
      </c>
      <c r="CT15" s="3">
        <v>583.136</v>
      </c>
      <c r="CU15" s="3">
        <v>1991.894</v>
      </c>
      <c r="CV15" s="3">
        <v>1299.167</v>
      </c>
      <c r="CW15" s="3"/>
      <c r="CX15" s="2"/>
      <c r="CY15" s="2">
        <f t="shared" si="6"/>
        <v>22186.643000000007</v>
      </c>
      <c r="CZ15" s="2">
        <f t="shared" si="11"/>
        <v>221.87</v>
      </c>
      <c r="DA15" s="3"/>
      <c r="DB15" s="3"/>
      <c r="DC15" s="3">
        <v>221.87</v>
      </c>
      <c r="DD15" s="3"/>
      <c r="DE15" s="2">
        <f t="shared" si="45"/>
        <v>22408.513000000006</v>
      </c>
      <c r="DF15" s="2" t="s">
        <v>133</v>
      </c>
      <c r="DG15" s="2">
        <f t="shared" si="7"/>
        <v>1937.9497535241726</v>
      </c>
      <c r="DH15" s="37">
        <v>1894.38</v>
      </c>
      <c r="DI15" s="37">
        <v>1981.52</v>
      </c>
      <c r="DJ15" s="28" t="s">
        <v>70</v>
      </c>
      <c r="DK15" s="3">
        <f t="shared" si="46"/>
        <v>1137.821</v>
      </c>
      <c r="DL15" s="1" t="e">
        <f>DK15/#REF!</f>
        <v>#REF!</v>
      </c>
    </row>
    <row r="16" spans="1:116" ht="39" customHeight="1">
      <c r="A16" s="19">
        <v>5</v>
      </c>
      <c r="B16" s="3" t="s">
        <v>127</v>
      </c>
      <c r="C16" s="20">
        <v>3628.23</v>
      </c>
      <c r="D16" s="20">
        <v>169.44</v>
      </c>
      <c r="E16" s="20">
        <v>0</v>
      </c>
      <c r="F16" s="20"/>
      <c r="G16" s="21">
        <f t="shared" si="0"/>
        <v>3458.79</v>
      </c>
      <c r="H16" s="20">
        <v>275.25</v>
      </c>
      <c r="I16" s="22">
        <f t="shared" si="1"/>
        <v>0.07957985307000424</v>
      </c>
      <c r="J16" s="2">
        <f t="shared" si="15"/>
        <v>3183.54</v>
      </c>
      <c r="K16" s="2">
        <f t="shared" si="16"/>
        <v>3183.54</v>
      </c>
      <c r="L16" s="3">
        <v>303</v>
      </c>
      <c r="M16" s="3"/>
      <c r="N16" s="3">
        <v>2880.54</v>
      </c>
      <c r="O16" s="3"/>
      <c r="P16" s="3"/>
      <c r="Q16" s="3">
        <v>1195.858</v>
      </c>
      <c r="R16" s="3">
        <v>0</v>
      </c>
      <c r="S16" s="2">
        <f t="shared" si="17"/>
        <v>1847.278935676263</v>
      </c>
      <c r="T16" s="2">
        <f t="shared" si="18"/>
        <v>1847.278935676263</v>
      </c>
      <c r="U16" s="3">
        <v>3628.23</v>
      </c>
      <c r="V16" s="3">
        <v>221.343</v>
      </c>
      <c r="W16" s="2">
        <f t="shared" si="19"/>
        <v>803.0833128899999</v>
      </c>
      <c r="X16" s="3">
        <v>5348</v>
      </c>
      <c r="Y16" s="2">
        <f t="shared" si="20"/>
        <v>0.764</v>
      </c>
      <c r="Z16" s="2">
        <f t="shared" si="21"/>
        <v>1051.1561687041883</v>
      </c>
      <c r="AA16" s="3">
        <v>1760.9</v>
      </c>
      <c r="AB16" s="23">
        <v>0.998</v>
      </c>
      <c r="AC16" s="2">
        <f t="shared" si="22"/>
        <v>1757.3782</v>
      </c>
      <c r="AD16" s="2">
        <f t="shared" si="23"/>
        <v>0</v>
      </c>
      <c r="AE16" s="3"/>
      <c r="AF16" s="3"/>
      <c r="AG16" s="2">
        <f t="shared" si="24"/>
        <v>0</v>
      </c>
      <c r="AH16" s="19"/>
      <c r="AI16" s="27">
        <f t="shared" si="25"/>
        <v>0</v>
      </c>
      <c r="AJ16" s="2">
        <f t="shared" si="26"/>
        <v>0</v>
      </c>
      <c r="AK16" s="3"/>
      <c r="AL16" s="23"/>
      <c r="AM16" s="2">
        <f t="shared" si="27"/>
        <v>0</v>
      </c>
      <c r="AN16" s="2">
        <f t="shared" si="28"/>
        <v>0</v>
      </c>
      <c r="AO16" s="3"/>
      <c r="AP16" s="3"/>
      <c r="AQ16" s="2">
        <f t="shared" si="29"/>
        <v>0</v>
      </c>
      <c r="AR16" s="3"/>
      <c r="AS16" s="2">
        <f t="shared" si="30"/>
        <v>0</v>
      </c>
      <c r="AT16" s="2">
        <f t="shared" si="31"/>
        <v>0</v>
      </c>
      <c r="AU16" s="3"/>
      <c r="AV16" s="3"/>
      <c r="AW16" s="2">
        <f t="shared" si="32"/>
        <v>0</v>
      </c>
      <c r="AX16" s="2">
        <f t="shared" si="33"/>
        <v>0</v>
      </c>
      <c r="AY16" s="3"/>
      <c r="AZ16" s="3"/>
      <c r="BA16" s="2">
        <f t="shared" si="34"/>
        <v>0</v>
      </c>
      <c r="BB16" s="3"/>
      <c r="BC16" s="2">
        <f t="shared" si="35"/>
        <v>0</v>
      </c>
      <c r="BD16" s="2">
        <f t="shared" si="36"/>
        <v>0</v>
      </c>
      <c r="BE16" s="3"/>
      <c r="BF16" s="3"/>
      <c r="BG16" s="2">
        <f t="shared" si="37"/>
        <v>0</v>
      </c>
      <c r="BH16" s="2">
        <f t="shared" si="38"/>
        <v>465.667</v>
      </c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CC16" s="109">
        <f t="shared" si="10"/>
        <v>465.667</v>
      </c>
      <c r="CD16" s="2">
        <f t="shared" si="39"/>
        <v>465.667</v>
      </c>
      <c r="CE16" s="3">
        <v>33.321815065662946</v>
      </c>
      <c r="CF16" s="2">
        <f t="shared" si="40"/>
        <v>120.89920907569028</v>
      </c>
      <c r="CG16" s="3">
        <v>3.593</v>
      </c>
      <c r="CH16" s="23">
        <v>1.072</v>
      </c>
      <c r="CI16" s="2">
        <f t="shared" si="41"/>
        <v>3.851696</v>
      </c>
      <c r="CJ16" s="2">
        <f t="shared" si="42"/>
        <v>0</v>
      </c>
      <c r="CK16" s="2">
        <f t="shared" si="43"/>
        <v>0</v>
      </c>
      <c r="CL16" s="3"/>
      <c r="CM16" s="3"/>
      <c r="CN16" s="3"/>
      <c r="CO16" s="24"/>
      <c r="CP16" s="3">
        <v>78.65</v>
      </c>
      <c r="CQ16" s="3"/>
      <c r="CR16" s="3"/>
      <c r="CS16" s="2">
        <f t="shared" si="44"/>
        <v>37.99</v>
      </c>
      <c r="CT16" s="3">
        <v>0</v>
      </c>
      <c r="CU16" s="3">
        <v>0</v>
      </c>
      <c r="CV16" s="3">
        <v>37.99</v>
      </c>
      <c r="CW16" s="3"/>
      <c r="CX16" s="2"/>
      <c r="CY16" s="2">
        <f t="shared" si="6"/>
        <v>3625.4439356762628</v>
      </c>
      <c r="CZ16" s="2">
        <f t="shared" si="11"/>
        <v>0</v>
      </c>
      <c r="DA16" s="3"/>
      <c r="DB16" s="3"/>
      <c r="DC16" s="3"/>
      <c r="DD16" s="3"/>
      <c r="DE16" s="2">
        <f t="shared" si="45"/>
        <v>3625.4439356762628</v>
      </c>
      <c r="DF16" s="2" t="s">
        <v>134</v>
      </c>
      <c r="DG16" s="2">
        <f t="shared" si="7"/>
        <v>1138.8089785824154</v>
      </c>
      <c r="DH16" s="37">
        <v>1116.48</v>
      </c>
      <c r="DI16" s="37">
        <v>1161.14</v>
      </c>
      <c r="DJ16" s="28" t="s">
        <v>69</v>
      </c>
      <c r="DK16" s="3">
        <f t="shared" si="46"/>
        <v>78.65</v>
      </c>
      <c r="DL16" s="1" t="e">
        <f>DK16/#REF!</f>
        <v>#REF!</v>
      </c>
    </row>
    <row r="17" spans="1:116" ht="26.25" customHeight="1">
      <c r="A17" s="19">
        <v>6</v>
      </c>
      <c r="B17" s="3" t="s">
        <v>107</v>
      </c>
      <c r="C17" s="20">
        <v>10519.233</v>
      </c>
      <c r="D17" s="20">
        <v>772.31</v>
      </c>
      <c r="E17" s="20">
        <v>0</v>
      </c>
      <c r="F17" s="20"/>
      <c r="G17" s="21">
        <f>C17-D17+E17</f>
        <v>9746.923</v>
      </c>
      <c r="H17" s="20">
        <v>1570.94</v>
      </c>
      <c r="I17" s="22">
        <f>H17/G17</f>
        <v>0.1611729158012226</v>
      </c>
      <c r="J17" s="2">
        <f t="shared" si="15"/>
        <v>8175.983</v>
      </c>
      <c r="K17" s="2">
        <f t="shared" si="16"/>
        <v>8175.983</v>
      </c>
      <c r="L17" s="3">
        <v>5763.33</v>
      </c>
      <c r="M17" s="3">
        <v>1984.813</v>
      </c>
      <c r="N17" s="3">
        <v>427.84</v>
      </c>
      <c r="O17" s="3">
        <v>61.44</v>
      </c>
      <c r="P17" s="3"/>
      <c r="Q17" s="3">
        <v>781.001</v>
      </c>
      <c r="R17" s="3">
        <v>0</v>
      </c>
      <c r="S17" s="2">
        <f t="shared" si="17"/>
        <v>6122.792917093839</v>
      </c>
      <c r="T17" s="2">
        <f t="shared" si="18"/>
        <v>6122.792917093839</v>
      </c>
      <c r="U17" s="3">
        <v>10519.233</v>
      </c>
      <c r="V17" s="3">
        <v>233.24</v>
      </c>
      <c r="W17" s="2">
        <f t="shared" si="19"/>
        <v>2453.50590492</v>
      </c>
      <c r="X17" s="3">
        <v>5008</v>
      </c>
      <c r="Y17" s="2">
        <f t="shared" si="20"/>
        <v>0.7154285714285714</v>
      </c>
      <c r="Z17" s="2">
        <f t="shared" si="21"/>
        <v>3429.421192979233</v>
      </c>
      <c r="AA17" s="3">
        <v>1788.95</v>
      </c>
      <c r="AB17" s="23">
        <v>0.998</v>
      </c>
      <c r="AC17" s="2">
        <f t="shared" si="22"/>
        <v>1785.3721</v>
      </c>
      <c r="AD17" s="2">
        <f t="shared" si="23"/>
        <v>0</v>
      </c>
      <c r="AE17" s="3"/>
      <c r="AF17" s="3"/>
      <c r="AG17" s="2">
        <f t="shared" si="24"/>
        <v>0</v>
      </c>
      <c r="AH17" s="19"/>
      <c r="AI17" s="27">
        <f t="shared" si="25"/>
        <v>0</v>
      </c>
      <c r="AJ17" s="2">
        <f t="shared" si="26"/>
        <v>0</v>
      </c>
      <c r="AK17" s="3"/>
      <c r="AL17" s="23"/>
      <c r="AM17" s="2">
        <f t="shared" si="27"/>
        <v>0</v>
      </c>
      <c r="AN17" s="2">
        <f t="shared" si="28"/>
        <v>0</v>
      </c>
      <c r="AO17" s="3"/>
      <c r="AP17" s="3"/>
      <c r="AQ17" s="2">
        <f t="shared" si="29"/>
        <v>0</v>
      </c>
      <c r="AR17" s="3"/>
      <c r="AS17" s="2">
        <f t="shared" si="30"/>
        <v>0</v>
      </c>
      <c r="AT17" s="2">
        <f t="shared" si="31"/>
        <v>0</v>
      </c>
      <c r="AU17" s="3"/>
      <c r="AV17" s="3"/>
      <c r="AW17" s="2">
        <f t="shared" si="32"/>
        <v>0</v>
      </c>
      <c r="AX17" s="2">
        <f t="shared" si="33"/>
        <v>0</v>
      </c>
      <c r="AY17" s="3"/>
      <c r="AZ17" s="3"/>
      <c r="BA17" s="2">
        <f t="shared" si="34"/>
        <v>0</v>
      </c>
      <c r="BB17" s="3"/>
      <c r="BC17" s="2">
        <f t="shared" si="35"/>
        <v>0</v>
      </c>
      <c r="BD17" s="2">
        <f t="shared" si="36"/>
        <v>0</v>
      </c>
      <c r="BE17" s="3"/>
      <c r="BF17" s="3"/>
      <c r="BG17" s="2">
        <f t="shared" si="37"/>
        <v>0</v>
      </c>
      <c r="BH17" s="2">
        <f t="shared" si="38"/>
        <v>2220.0089999999996</v>
      </c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CC17" s="109">
        <f t="shared" si="10"/>
        <v>2220.0089999999996</v>
      </c>
      <c r="CD17" s="2">
        <f t="shared" si="39"/>
        <v>2220.0089999999996</v>
      </c>
      <c r="CE17" s="3">
        <v>51.94415251075236</v>
      </c>
      <c r="CF17" s="2">
        <f t="shared" si="40"/>
        <v>546.412643248139</v>
      </c>
      <c r="CG17" s="3">
        <v>3.79</v>
      </c>
      <c r="CH17" s="23">
        <v>1.072</v>
      </c>
      <c r="CI17" s="2">
        <f t="shared" si="41"/>
        <v>4.062880000000001</v>
      </c>
      <c r="CJ17" s="2">
        <f t="shared" si="42"/>
        <v>0</v>
      </c>
      <c r="CK17" s="2">
        <f t="shared" si="43"/>
        <v>0</v>
      </c>
      <c r="CL17" s="3"/>
      <c r="CM17" s="3">
        <v>2994.198</v>
      </c>
      <c r="CN17" s="3">
        <v>904.25</v>
      </c>
      <c r="CO17" s="24">
        <f>CN17/CM17</f>
        <v>0.30200073609026523</v>
      </c>
      <c r="CP17" s="3"/>
      <c r="CQ17" s="3"/>
      <c r="CR17" s="3">
        <v>44.425</v>
      </c>
      <c r="CS17" s="2">
        <f t="shared" si="44"/>
        <v>1724.243</v>
      </c>
      <c r="CT17" s="3">
        <v>837.809</v>
      </c>
      <c r="CU17" s="3">
        <v>666.673</v>
      </c>
      <c r="CV17" s="3">
        <f>1724.243-CU17-CT17</f>
        <v>219.76099999999997</v>
      </c>
      <c r="CW17" s="3"/>
      <c r="CX17" s="2"/>
      <c r="CY17" s="2">
        <f t="shared" si="6"/>
        <v>14852.358917093838</v>
      </c>
      <c r="CZ17" s="2">
        <f t="shared" si="11"/>
        <v>148.524</v>
      </c>
      <c r="DA17" s="3"/>
      <c r="DB17" s="3"/>
      <c r="DC17" s="3">
        <v>148.524</v>
      </c>
      <c r="DD17" s="3"/>
      <c r="DE17" s="2">
        <f t="shared" si="45"/>
        <v>15000.882917093837</v>
      </c>
      <c r="DF17" s="2" t="s">
        <v>135</v>
      </c>
      <c r="DG17" s="2">
        <f t="shared" si="7"/>
        <v>1834.7497685714168</v>
      </c>
      <c r="DH17" s="37">
        <v>1795.26</v>
      </c>
      <c r="DI17" s="37">
        <v>1874.24</v>
      </c>
      <c r="DJ17" s="28" t="s">
        <v>70</v>
      </c>
      <c r="DK17" s="3">
        <f t="shared" si="46"/>
        <v>837.809</v>
      </c>
      <c r="DL17" s="1" t="e">
        <f>DK17/#REF!</f>
        <v>#REF!</v>
      </c>
    </row>
    <row r="18" spans="1:115" s="155" customFormat="1" ht="44.25" customHeight="1">
      <c r="A18" s="156"/>
      <c r="B18" s="157"/>
      <c r="C18" s="154"/>
      <c r="D18" s="154"/>
      <c r="E18" s="154"/>
      <c r="F18" s="154"/>
      <c r="G18" s="158"/>
      <c r="H18" s="154"/>
      <c r="I18" s="159"/>
      <c r="J18" s="160"/>
      <c r="K18" s="160"/>
      <c r="L18" s="157"/>
      <c r="M18" s="157"/>
      <c r="N18" s="157"/>
      <c r="O18" s="157"/>
      <c r="P18" s="157"/>
      <c r="Q18" s="157"/>
      <c r="R18" s="157"/>
      <c r="S18" s="160"/>
      <c r="T18" s="160"/>
      <c r="U18" s="157"/>
      <c r="V18" s="157"/>
      <c r="W18" s="160"/>
      <c r="X18" s="157"/>
      <c r="Y18" s="160"/>
      <c r="Z18" s="160"/>
      <c r="AA18" s="157"/>
      <c r="AB18" s="161"/>
      <c r="AC18" s="160"/>
      <c r="AD18" s="160"/>
      <c r="AE18" s="157"/>
      <c r="AF18" s="157"/>
      <c r="AG18" s="160"/>
      <c r="AH18" s="156"/>
      <c r="AI18" s="162"/>
      <c r="AJ18" s="160"/>
      <c r="AK18" s="157"/>
      <c r="AL18" s="161"/>
      <c r="AM18" s="160"/>
      <c r="AN18" s="160"/>
      <c r="AO18" s="157"/>
      <c r="AP18" s="157"/>
      <c r="AQ18" s="160"/>
      <c r="AR18" s="157"/>
      <c r="AS18" s="160"/>
      <c r="AT18" s="160"/>
      <c r="AU18" s="157"/>
      <c r="AV18" s="157"/>
      <c r="AW18" s="160"/>
      <c r="AX18" s="160"/>
      <c r="AY18" s="157"/>
      <c r="AZ18" s="157"/>
      <c r="BA18" s="160"/>
      <c r="BB18" s="157"/>
      <c r="BC18" s="160"/>
      <c r="BD18" s="160"/>
      <c r="BE18" s="157"/>
      <c r="BF18" s="157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CC18" s="163"/>
      <c r="CD18" s="160"/>
      <c r="CE18" s="157"/>
      <c r="CF18" s="160"/>
      <c r="CG18" s="157"/>
      <c r="CH18" s="161"/>
      <c r="CI18" s="160"/>
      <c r="CJ18" s="160"/>
      <c r="CK18" s="160"/>
      <c r="CL18" s="157"/>
      <c r="CM18" s="157"/>
      <c r="CN18" s="157"/>
      <c r="CO18" s="164"/>
      <c r="CP18" s="157"/>
      <c r="CQ18" s="157"/>
      <c r="CR18" s="157"/>
      <c r="CS18" s="160"/>
      <c r="CT18" s="157"/>
      <c r="CU18" s="157"/>
      <c r="CV18" s="157"/>
      <c r="CW18" s="157"/>
      <c r="CX18" s="160"/>
      <c r="CY18" s="160"/>
      <c r="CZ18" s="160"/>
      <c r="DA18" s="157"/>
      <c r="DB18" s="157"/>
      <c r="DC18" s="157"/>
      <c r="DD18" s="157"/>
      <c r="DE18" s="160"/>
      <c r="DF18" s="160"/>
      <c r="DG18" s="160"/>
      <c r="DH18" s="160"/>
      <c r="DI18" s="160"/>
      <c r="DJ18" s="165"/>
      <c r="DK18" s="157"/>
    </row>
    <row r="19" ht="12.75">
      <c r="DK19" s="30"/>
    </row>
    <row r="20" spans="31:109" ht="12.75">
      <c r="AE20" s="34"/>
      <c r="AF20" s="1">
        <f>213.2*1.17</f>
        <v>249.44399999999996</v>
      </c>
      <c r="AG20" s="34" t="e">
        <f>#REF!*AF20/1000</f>
        <v>#REF!</v>
      </c>
      <c r="AJ20" s="34" t="e">
        <f>AG20/#REF!</f>
        <v>#REF!</v>
      </c>
      <c r="DE20" s="34" t="e">
        <f>#REF!+#REF!+#REF!+#REF!+#REF!+#REF!+#REF!+#REF!+#REF!-#REF!+#REF!+#REF!+DE11+#REF!+#REF!+#REF!+#REF!+#REF!+#REF!+#REF!+#REF!+#REF!+#REF!-#REF!-#REF!</f>
        <v>#REF!</v>
      </c>
    </row>
  </sheetData>
  <sheetProtection/>
  <mergeCells count="35">
    <mergeCell ref="DG3:DG4"/>
    <mergeCell ref="CY3:CY4"/>
    <mergeCell ref="CX3:CX4"/>
    <mergeCell ref="CS3:CV3"/>
    <mergeCell ref="CO3:CO4"/>
    <mergeCell ref="CN3:CN4"/>
    <mergeCell ref="P3:P4"/>
    <mergeCell ref="CM3:CM4"/>
    <mergeCell ref="CW3:CW4"/>
    <mergeCell ref="Q3:R3"/>
    <mergeCell ref="DF3:DF4"/>
    <mergeCell ref="DH3:DI3"/>
    <mergeCell ref="CZ3:DD3"/>
    <mergeCell ref="S3:CB3"/>
    <mergeCell ref="CP3:CP4"/>
    <mergeCell ref="A1:DK1"/>
    <mergeCell ref="A2:DK2"/>
    <mergeCell ref="A3:A4"/>
    <mergeCell ref="B3:B4"/>
    <mergeCell ref="C3:C4"/>
    <mergeCell ref="DK3:DK4"/>
    <mergeCell ref="CR3:CR4"/>
    <mergeCell ref="CC3:CL3"/>
    <mergeCell ref="F3:F4"/>
    <mergeCell ref="H3:H4"/>
    <mergeCell ref="DJ3:DJ4"/>
    <mergeCell ref="DE3:DE4"/>
    <mergeCell ref="D3:D4"/>
    <mergeCell ref="O3:O4"/>
    <mergeCell ref="G3:G4"/>
    <mergeCell ref="E3:E4"/>
    <mergeCell ref="I3:I4"/>
    <mergeCell ref="K3:N3"/>
    <mergeCell ref="J3:J4"/>
    <mergeCell ref="CQ3:CQ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P19"/>
  <sheetViews>
    <sheetView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6" sqref="B16"/>
    </sheetView>
  </sheetViews>
  <sheetFormatPr defaultColWidth="7.00390625" defaultRowHeight="15" outlineLevelCol="1"/>
  <cols>
    <col min="1" max="1" width="7.00390625" style="81" bestFit="1" customWidth="1"/>
    <col min="2" max="2" width="33.421875" style="81" customWidth="1"/>
    <col min="3" max="3" width="14.8515625" style="82" customWidth="1" outlineLevel="1"/>
    <col min="4" max="4" width="13.421875" style="82" customWidth="1" outlineLevel="1"/>
    <col min="5" max="5" width="14.57421875" style="82" customWidth="1" outlineLevel="1"/>
    <col min="6" max="6" width="12.140625" style="83" customWidth="1" outlineLevel="1"/>
    <col min="7" max="7" width="13.8515625" style="82" customWidth="1" outlineLevel="1"/>
    <col min="8" max="8" width="9.421875" style="84" customWidth="1" outlineLevel="1"/>
    <col min="9" max="9" width="15.00390625" style="85" customWidth="1" outlineLevel="1"/>
    <col min="10" max="10" width="15.140625" style="85" customWidth="1" outlineLevel="1"/>
    <col min="11" max="11" width="13.00390625" style="39" customWidth="1" outlineLevel="1"/>
    <col min="12" max="12" width="13.140625" style="39" customWidth="1" outlineLevel="1"/>
    <col min="13" max="13" width="12.421875" style="39" customWidth="1" outlineLevel="1"/>
    <col min="14" max="14" width="10.8515625" style="39" customWidth="1"/>
    <col min="15" max="16" width="12.140625" style="39" customWidth="1"/>
    <col min="17" max="17" width="10.8515625" style="39" customWidth="1"/>
    <col min="18" max="18" width="10.8515625" style="85" customWidth="1"/>
    <col min="19" max="19" width="11.7109375" style="85" customWidth="1"/>
    <col min="20" max="20" width="11.57421875" style="85" customWidth="1" outlineLevel="1"/>
    <col min="21" max="21" width="11.57421875" style="39" customWidth="1" outlineLevel="1"/>
    <col min="22" max="22" width="11.57421875" style="85" customWidth="1" outlineLevel="1"/>
    <col min="23" max="23" width="11.57421875" style="39" customWidth="1" outlineLevel="1"/>
    <col min="24" max="25" width="11.57421875" style="85" customWidth="1" outlineLevel="1"/>
    <col min="26" max="26" width="11.57421875" style="39" customWidth="1" outlineLevel="1"/>
    <col min="27" max="27" width="11.57421875" style="86" customWidth="1" outlineLevel="1"/>
    <col min="28" max="28" width="11.57421875" style="85" customWidth="1" outlineLevel="1"/>
    <col min="29" max="29" width="11.57421875" style="85" customWidth="1"/>
    <col min="30" max="31" width="11.57421875" style="39" customWidth="1" outlineLevel="1"/>
    <col min="32" max="32" width="11.57421875" style="85" customWidth="1" outlineLevel="1"/>
    <col min="33" max="33" width="11.57421875" style="39" customWidth="1" outlineLevel="1"/>
    <col min="34" max="35" width="11.57421875" style="85" customWidth="1" outlineLevel="1"/>
    <col min="36" max="36" width="11.57421875" style="39" customWidth="1" outlineLevel="1"/>
    <col min="37" max="37" width="11.57421875" style="86" customWidth="1" outlineLevel="1"/>
    <col min="38" max="38" width="11.57421875" style="85" customWidth="1" outlineLevel="1"/>
    <col min="39" max="39" width="11.57421875" style="85" customWidth="1"/>
    <col min="40" max="48" width="11.57421875" style="85" customWidth="1" outlineLevel="1"/>
    <col min="49" max="49" width="11.57421875" style="85" customWidth="1"/>
    <col min="50" max="58" width="11.57421875" style="39" customWidth="1" outlineLevel="1"/>
    <col min="59" max="59" width="11.57421875" style="85" customWidth="1" collapsed="1"/>
    <col min="60" max="60" width="11.57421875" style="85" customWidth="1"/>
    <col min="61" max="61" width="11.57421875" style="39" customWidth="1" outlineLevel="1"/>
    <col min="62" max="62" width="11.57421875" style="85" customWidth="1" outlineLevel="1"/>
    <col min="63" max="63" width="11.57421875" style="39" customWidth="1" outlineLevel="1"/>
    <col min="64" max="64" width="11.57421875" style="86" customWidth="1" outlineLevel="1"/>
    <col min="65" max="65" width="11.57421875" style="85" customWidth="1" outlineLevel="1"/>
    <col min="66" max="67" width="11.57421875" style="39" customWidth="1"/>
    <col min="68" max="68" width="9.421875" style="87" customWidth="1"/>
    <col min="69" max="74" width="12.8515625" style="39" customWidth="1"/>
    <col min="75" max="75" width="11.57421875" style="39" customWidth="1"/>
    <col min="76" max="76" width="11.57421875" style="85" customWidth="1"/>
    <col min="77" max="79" width="11.57421875" style="39" customWidth="1" outlineLevel="1"/>
    <col min="80" max="81" width="11.57421875" style="39" customWidth="1"/>
    <col min="82" max="83" width="11.57421875" style="85" customWidth="1"/>
    <col min="84" max="87" width="11.57421875" style="39" customWidth="1" outlineLevel="1"/>
    <col min="88" max="88" width="14.140625" style="85" customWidth="1"/>
    <col min="89" max="89" width="14.28125" style="85" customWidth="1"/>
    <col min="90" max="90" width="15.28125" style="39" customWidth="1"/>
    <col min="91" max="91" width="32.8515625" style="39" customWidth="1"/>
    <col min="92" max="92" width="20.57421875" style="39" customWidth="1"/>
    <col min="93" max="93" width="15.140625" style="39" customWidth="1"/>
    <col min="94" max="94" width="15.57421875" style="39" customWidth="1"/>
    <col min="95" max="255" width="32.7109375" style="39" customWidth="1"/>
    <col min="256" max="16384" width="7.00390625" style="39" customWidth="1"/>
  </cols>
  <sheetData>
    <row r="1" spans="3:11" ht="13.5">
      <c r="C1" s="82">
        <v>0</v>
      </c>
      <c r="G1" s="82" t="e">
        <f>#REF!-K1</f>
        <v>#REF!</v>
      </c>
      <c r="K1" s="39" t="e">
        <f>#REF!-#REF!</f>
        <v>#REF!</v>
      </c>
    </row>
    <row r="2" spans="1:91" ht="27" customHeight="1">
      <c r="A2" s="153" t="s">
        <v>117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</row>
    <row r="3" spans="1:94" ht="28.5" customHeight="1">
      <c r="A3" s="140"/>
      <c r="B3" s="140" t="s">
        <v>1</v>
      </c>
      <c r="C3" s="150" t="s">
        <v>80</v>
      </c>
      <c r="D3" s="150" t="s">
        <v>81</v>
      </c>
      <c r="E3" s="150" t="s">
        <v>82</v>
      </c>
      <c r="F3" s="152" t="s">
        <v>5</v>
      </c>
      <c r="G3" s="150" t="s">
        <v>6</v>
      </c>
      <c r="H3" s="151" t="s">
        <v>7</v>
      </c>
      <c r="I3" s="147" t="s">
        <v>8</v>
      </c>
      <c r="J3" s="140" t="s">
        <v>83</v>
      </c>
      <c r="K3" s="140"/>
      <c r="L3" s="140"/>
      <c r="M3" s="140"/>
      <c r="N3" s="140" t="s">
        <v>10</v>
      </c>
      <c r="O3" s="145" t="s">
        <v>11</v>
      </c>
      <c r="P3" s="146"/>
      <c r="Q3" s="145" t="s">
        <v>84</v>
      </c>
      <c r="R3" s="140" t="s">
        <v>13</v>
      </c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 t="s">
        <v>14</v>
      </c>
      <c r="BH3" s="140"/>
      <c r="BI3" s="140"/>
      <c r="BJ3" s="140"/>
      <c r="BK3" s="140"/>
      <c r="BL3" s="140"/>
      <c r="BM3" s="140"/>
      <c r="BN3" s="140" t="s">
        <v>15</v>
      </c>
      <c r="BO3" s="140" t="s">
        <v>16</v>
      </c>
      <c r="BP3" s="149" t="s">
        <v>7</v>
      </c>
      <c r="BQ3" s="143" t="s">
        <v>17</v>
      </c>
      <c r="BR3" s="143" t="s">
        <v>85</v>
      </c>
      <c r="BS3" s="143" t="s">
        <v>86</v>
      </c>
      <c r="BT3" s="143" t="s">
        <v>87</v>
      </c>
      <c r="BU3" s="143" t="s">
        <v>88</v>
      </c>
      <c r="BV3" s="143" t="s">
        <v>89</v>
      </c>
      <c r="BW3" s="140" t="s">
        <v>18</v>
      </c>
      <c r="BX3" s="140" t="s">
        <v>19</v>
      </c>
      <c r="BY3" s="140"/>
      <c r="BZ3" s="140"/>
      <c r="CA3" s="140"/>
      <c r="CB3" s="140" t="s">
        <v>20</v>
      </c>
      <c r="CC3" s="140" t="s">
        <v>21</v>
      </c>
      <c r="CD3" s="147" t="s">
        <v>22</v>
      </c>
      <c r="CE3" s="147" t="s">
        <v>23</v>
      </c>
      <c r="CF3" s="147"/>
      <c r="CG3" s="147"/>
      <c r="CH3" s="147"/>
      <c r="CI3" s="147"/>
      <c r="CJ3" s="147" t="s">
        <v>0</v>
      </c>
      <c r="CK3" s="147" t="s">
        <v>90</v>
      </c>
      <c r="CL3" s="141" t="s">
        <v>25</v>
      </c>
      <c r="CM3" s="140" t="s">
        <v>26</v>
      </c>
      <c r="CN3" s="140" t="s">
        <v>91</v>
      </c>
      <c r="CO3" s="140" t="s">
        <v>124</v>
      </c>
      <c r="CP3" s="140"/>
    </row>
    <row r="4" spans="1:94" ht="69">
      <c r="A4" s="140"/>
      <c r="B4" s="140"/>
      <c r="C4" s="150"/>
      <c r="D4" s="150"/>
      <c r="E4" s="150"/>
      <c r="F4" s="152"/>
      <c r="G4" s="150"/>
      <c r="H4" s="151"/>
      <c r="I4" s="147"/>
      <c r="J4" s="40" t="s">
        <v>27</v>
      </c>
      <c r="K4" s="41" t="s">
        <v>28</v>
      </c>
      <c r="L4" s="41" t="s">
        <v>29</v>
      </c>
      <c r="M4" s="41" t="s">
        <v>30</v>
      </c>
      <c r="N4" s="140"/>
      <c r="O4" s="42" t="s">
        <v>92</v>
      </c>
      <c r="P4" s="41" t="s">
        <v>93</v>
      </c>
      <c r="Q4" s="148"/>
      <c r="R4" s="40" t="s">
        <v>32</v>
      </c>
      <c r="S4" s="43" t="s">
        <v>33</v>
      </c>
      <c r="T4" s="44" t="s">
        <v>34</v>
      </c>
      <c r="U4" s="44" t="s">
        <v>48</v>
      </c>
      <c r="V4" s="45" t="s">
        <v>36</v>
      </c>
      <c r="W4" s="44" t="s">
        <v>37</v>
      </c>
      <c r="X4" s="45" t="s">
        <v>38</v>
      </c>
      <c r="Y4" s="45" t="s">
        <v>39</v>
      </c>
      <c r="Z4" s="44" t="s">
        <v>40</v>
      </c>
      <c r="AA4" s="46" t="s">
        <v>41</v>
      </c>
      <c r="AB4" s="45" t="s">
        <v>42</v>
      </c>
      <c r="AC4" s="43" t="s">
        <v>43</v>
      </c>
      <c r="AD4" s="44" t="s">
        <v>44</v>
      </c>
      <c r="AE4" s="44" t="s">
        <v>48</v>
      </c>
      <c r="AF4" s="45" t="s">
        <v>36</v>
      </c>
      <c r="AG4" s="44" t="s">
        <v>37</v>
      </c>
      <c r="AH4" s="45" t="s">
        <v>38</v>
      </c>
      <c r="AI4" s="45" t="s">
        <v>39</v>
      </c>
      <c r="AJ4" s="44" t="s">
        <v>40</v>
      </c>
      <c r="AK4" s="46" t="s">
        <v>41</v>
      </c>
      <c r="AL4" s="45" t="s">
        <v>42</v>
      </c>
      <c r="AM4" s="43" t="s">
        <v>46</v>
      </c>
      <c r="AN4" s="44" t="s">
        <v>47</v>
      </c>
      <c r="AO4" s="44" t="s">
        <v>48</v>
      </c>
      <c r="AP4" s="44" t="s">
        <v>36</v>
      </c>
      <c r="AQ4" s="44" t="s">
        <v>37</v>
      </c>
      <c r="AR4" s="44" t="s">
        <v>38</v>
      </c>
      <c r="AS4" s="44" t="s">
        <v>39</v>
      </c>
      <c r="AT4" s="44" t="s">
        <v>40</v>
      </c>
      <c r="AU4" s="44" t="s">
        <v>41</v>
      </c>
      <c r="AV4" s="44" t="s">
        <v>42</v>
      </c>
      <c r="AW4" s="43" t="s">
        <v>49</v>
      </c>
      <c r="AX4" s="44" t="s">
        <v>50</v>
      </c>
      <c r="AY4" s="44" t="s">
        <v>48</v>
      </c>
      <c r="AZ4" s="44" t="s">
        <v>36</v>
      </c>
      <c r="BA4" s="44" t="s">
        <v>37</v>
      </c>
      <c r="BB4" s="44" t="s">
        <v>38</v>
      </c>
      <c r="BC4" s="44" t="s">
        <v>39</v>
      </c>
      <c r="BD4" s="44" t="s">
        <v>40</v>
      </c>
      <c r="BE4" s="44" t="s">
        <v>41</v>
      </c>
      <c r="BF4" s="44" t="s">
        <v>42</v>
      </c>
      <c r="BG4" s="45" t="s">
        <v>51</v>
      </c>
      <c r="BH4" s="45" t="s">
        <v>52</v>
      </c>
      <c r="BI4" s="44" t="s">
        <v>53</v>
      </c>
      <c r="BJ4" s="45" t="s">
        <v>54</v>
      </c>
      <c r="BK4" s="44" t="s">
        <v>55</v>
      </c>
      <c r="BL4" s="46" t="s">
        <v>56</v>
      </c>
      <c r="BM4" s="45" t="s">
        <v>57</v>
      </c>
      <c r="BN4" s="140"/>
      <c r="BO4" s="140"/>
      <c r="BP4" s="149"/>
      <c r="BQ4" s="144"/>
      <c r="BR4" s="144"/>
      <c r="BS4" s="144"/>
      <c r="BT4" s="144"/>
      <c r="BU4" s="144"/>
      <c r="BV4" s="144"/>
      <c r="BW4" s="140"/>
      <c r="BX4" s="45" t="s">
        <v>61</v>
      </c>
      <c r="BY4" s="44" t="s">
        <v>62</v>
      </c>
      <c r="BZ4" s="44" t="s">
        <v>78</v>
      </c>
      <c r="CA4" s="44" t="s">
        <v>63</v>
      </c>
      <c r="CB4" s="140"/>
      <c r="CC4" s="140"/>
      <c r="CD4" s="147"/>
      <c r="CE4" s="45" t="s">
        <v>64</v>
      </c>
      <c r="CF4" s="41" t="s">
        <v>65</v>
      </c>
      <c r="CG4" s="41" t="s">
        <v>66</v>
      </c>
      <c r="CH4" s="41" t="s">
        <v>67</v>
      </c>
      <c r="CI4" s="41" t="s">
        <v>111</v>
      </c>
      <c r="CJ4" s="147"/>
      <c r="CK4" s="147"/>
      <c r="CL4" s="141"/>
      <c r="CM4" s="140"/>
      <c r="CN4" s="140"/>
      <c r="CO4" s="41" t="s">
        <v>94</v>
      </c>
      <c r="CP4" s="41" t="s">
        <v>100</v>
      </c>
    </row>
    <row r="5" spans="1:94" ht="14.25" hidden="1">
      <c r="A5" s="41"/>
      <c r="B5" s="47"/>
      <c r="C5" s="48"/>
      <c r="D5" s="48"/>
      <c r="E5" s="48"/>
      <c r="F5" s="49"/>
      <c r="G5" s="48"/>
      <c r="H5" s="50"/>
      <c r="I5" s="40"/>
      <c r="J5" s="40"/>
      <c r="K5" s="41"/>
      <c r="L5" s="41"/>
      <c r="M5" s="41"/>
      <c r="N5" s="41"/>
      <c r="O5" s="42"/>
      <c r="P5" s="41"/>
      <c r="Q5" s="51"/>
      <c r="R5" s="40"/>
      <c r="S5" s="43"/>
      <c r="T5" s="44"/>
      <c r="U5" s="44"/>
      <c r="V5" s="45"/>
      <c r="W5" s="44"/>
      <c r="X5" s="45"/>
      <c r="Y5" s="45"/>
      <c r="Z5" s="44"/>
      <c r="AA5" s="46"/>
      <c r="AB5" s="45"/>
      <c r="AC5" s="43"/>
      <c r="AD5" s="44"/>
      <c r="AE5" s="44"/>
      <c r="AF5" s="45"/>
      <c r="AG5" s="44"/>
      <c r="AH5" s="45"/>
      <c r="AI5" s="45"/>
      <c r="AJ5" s="44"/>
      <c r="AK5" s="46"/>
      <c r="AL5" s="45"/>
      <c r="AM5" s="43"/>
      <c r="AN5" s="44"/>
      <c r="AO5" s="44"/>
      <c r="AP5" s="44"/>
      <c r="AQ5" s="44"/>
      <c r="AR5" s="44"/>
      <c r="AS5" s="44"/>
      <c r="AT5" s="44"/>
      <c r="AU5" s="44"/>
      <c r="AV5" s="44"/>
      <c r="AW5" s="43"/>
      <c r="AX5" s="44"/>
      <c r="AY5" s="44"/>
      <c r="AZ5" s="44"/>
      <c r="BA5" s="44"/>
      <c r="BB5" s="44"/>
      <c r="BC5" s="44"/>
      <c r="BD5" s="44"/>
      <c r="BE5" s="44"/>
      <c r="BF5" s="44"/>
      <c r="BG5" s="45"/>
      <c r="BH5" s="45"/>
      <c r="BI5" s="44"/>
      <c r="BJ5" s="45"/>
      <c r="BK5" s="44"/>
      <c r="BL5" s="46"/>
      <c r="BM5" s="45"/>
      <c r="BN5" s="41"/>
      <c r="BO5" s="41"/>
      <c r="BP5" s="52"/>
      <c r="BQ5" s="53"/>
      <c r="BR5" s="53"/>
      <c r="BS5" s="53"/>
      <c r="BT5" s="53"/>
      <c r="BU5" s="53"/>
      <c r="BV5" s="53"/>
      <c r="BW5" s="41"/>
      <c r="BX5" s="45"/>
      <c r="BY5" s="44"/>
      <c r="BZ5" s="44"/>
      <c r="CA5" s="44"/>
      <c r="CB5" s="41"/>
      <c r="CC5" s="41"/>
      <c r="CD5" s="40"/>
      <c r="CE5" s="45"/>
      <c r="CF5" s="41"/>
      <c r="CG5" s="41"/>
      <c r="CH5" s="41"/>
      <c r="CI5" s="41"/>
      <c r="CJ5" s="40"/>
      <c r="CK5" s="40"/>
      <c r="CL5" s="54"/>
      <c r="CM5" s="41"/>
      <c r="CN5" s="41"/>
      <c r="CO5" s="41"/>
      <c r="CP5" s="41"/>
    </row>
    <row r="6" spans="1:94" ht="13.5" hidden="1">
      <c r="A6" s="55">
        <v>1</v>
      </c>
      <c r="B6" s="56" t="s">
        <v>71</v>
      </c>
      <c r="C6" s="56">
        <f>SUM(C7:C8)</f>
        <v>0</v>
      </c>
      <c r="D6" s="56">
        <f>SUM(D7:D8)</f>
        <v>0</v>
      </c>
      <c r="E6" s="56">
        <f>SUM(E7:E8)</f>
        <v>0</v>
      </c>
      <c r="F6" s="56">
        <f>SUM(F7:F8)</f>
        <v>0</v>
      </c>
      <c r="G6" s="56">
        <f>SUM(G7:G8)</f>
        <v>0</v>
      </c>
      <c r="H6" s="56" t="e">
        <f>G6/F6*100</f>
        <v>#DIV/0!</v>
      </c>
      <c r="I6" s="56">
        <f>SUM(I7:I8)</f>
        <v>0</v>
      </c>
      <c r="J6" s="56">
        <f>SUM(J7:J8)</f>
        <v>0</v>
      </c>
      <c r="K6" s="56">
        <f>SUM(K7:K8)</f>
        <v>0</v>
      </c>
      <c r="L6" s="56">
        <f>SUM(L7:L8)</f>
        <v>0</v>
      </c>
      <c r="M6" s="56">
        <f>SUM(M7:M8)</f>
        <v>0</v>
      </c>
      <c r="N6" s="56"/>
      <c r="O6" s="56">
        <f>SUM(O7:O8)</f>
        <v>0</v>
      </c>
      <c r="P6" s="56">
        <f>SUM(P7:P8)</f>
        <v>0</v>
      </c>
      <c r="Q6" s="56">
        <f>SUM(Q7:Q8)</f>
        <v>0</v>
      </c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>
        <f>SUM(BG7:BG8)</f>
        <v>0</v>
      </c>
      <c r="BH6" s="56">
        <f>SUM(BH7:BH8)</f>
        <v>0</v>
      </c>
      <c r="BI6" s="56" t="e">
        <f>BJ6/C6*1000</f>
        <v>#DIV/0!</v>
      </c>
      <c r="BJ6" s="56">
        <f>SUM(BJ7:BJ8)</f>
        <v>0</v>
      </c>
      <c r="BK6" s="56"/>
      <c r="BL6" s="56"/>
      <c r="BM6" s="56" t="e">
        <f>BG6/BJ6</f>
        <v>#DIV/0!</v>
      </c>
      <c r="BN6" s="56">
        <f>SUM(BN7:BN8)</f>
        <v>0</v>
      </c>
      <c r="BO6" s="56">
        <f>SUM(BO7:BO8)</f>
        <v>0</v>
      </c>
      <c r="BP6" s="56" t="e">
        <f>BO6/BN6*100</f>
        <v>#DIV/0!</v>
      </c>
      <c r="BQ6" s="56">
        <f>SUM(BQ7:BQ8)</f>
        <v>0</v>
      </c>
      <c r="BR6" s="56">
        <f>SUM(BR7:BR8)</f>
        <v>0</v>
      </c>
      <c r="BS6" s="56">
        <f>SUM(BS7:BS8)</f>
        <v>0</v>
      </c>
      <c r="BT6" s="56">
        <f aca="true" t="shared" si="0" ref="BT6:CJ6">SUM(BT7:BT8)</f>
        <v>0</v>
      </c>
      <c r="BU6" s="56">
        <f t="shared" si="0"/>
        <v>0</v>
      </c>
      <c r="BV6" s="56">
        <f t="shared" si="0"/>
        <v>0</v>
      </c>
      <c r="BW6" s="56">
        <f t="shared" si="0"/>
        <v>0</v>
      </c>
      <c r="BX6" s="56">
        <f t="shared" si="0"/>
        <v>0</v>
      </c>
      <c r="BY6" s="56">
        <f t="shared" si="0"/>
        <v>0</v>
      </c>
      <c r="BZ6" s="56">
        <f t="shared" si="0"/>
        <v>0</v>
      </c>
      <c r="CA6" s="56">
        <f t="shared" si="0"/>
        <v>0</v>
      </c>
      <c r="CB6" s="56">
        <f t="shared" si="0"/>
        <v>0</v>
      </c>
      <c r="CC6" s="56">
        <f t="shared" si="0"/>
        <v>0</v>
      </c>
      <c r="CD6" s="56">
        <f t="shared" si="0"/>
        <v>0</v>
      </c>
      <c r="CE6" s="56">
        <f t="shared" si="0"/>
        <v>0</v>
      </c>
      <c r="CF6" s="56">
        <f t="shared" si="0"/>
        <v>0</v>
      </c>
      <c r="CG6" s="56">
        <f t="shared" si="0"/>
        <v>0</v>
      </c>
      <c r="CH6" s="56">
        <f t="shared" si="0"/>
        <v>0</v>
      </c>
      <c r="CI6" s="56">
        <f t="shared" si="0"/>
        <v>0</v>
      </c>
      <c r="CJ6" s="56">
        <f t="shared" si="0"/>
        <v>0</v>
      </c>
      <c r="CK6" s="56" t="e">
        <f>CJ6/J6*1000</f>
        <v>#DIV/0!</v>
      </c>
      <c r="CL6" s="56"/>
      <c r="CM6" s="56">
        <f>SUM(CM7:CM8)</f>
        <v>0</v>
      </c>
      <c r="CN6" s="57"/>
      <c r="CO6" s="57"/>
      <c r="CP6" s="57"/>
    </row>
    <row r="7" spans="1:94" s="64" customFormat="1" ht="13.5" hidden="1">
      <c r="A7" s="58"/>
      <c r="B7" s="59" t="s">
        <v>95</v>
      </c>
      <c r="C7" s="60"/>
      <c r="D7" s="60"/>
      <c r="E7" s="60"/>
      <c r="F7" s="49">
        <f>C7-D7+E7</f>
        <v>0</v>
      </c>
      <c r="G7" s="60"/>
      <c r="H7" s="60" t="e">
        <f>G7/F7*100</f>
        <v>#DIV/0!</v>
      </c>
      <c r="I7" s="40">
        <f>F7-G7</f>
        <v>0</v>
      </c>
      <c r="J7" s="40">
        <f>SUM(K7:M7)</f>
        <v>0</v>
      </c>
      <c r="K7" s="59"/>
      <c r="L7" s="59"/>
      <c r="M7" s="59"/>
      <c r="N7" s="59"/>
      <c r="O7" s="59"/>
      <c r="P7" s="59"/>
      <c r="Q7" s="59"/>
      <c r="R7" s="59"/>
      <c r="S7" s="61"/>
      <c r="T7" s="59"/>
      <c r="U7" s="59"/>
      <c r="V7" s="59"/>
      <c r="W7" s="59"/>
      <c r="X7" s="61"/>
      <c r="Y7" s="59"/>
      <c r="Z7" s="59"/>
      <c r="AA7" s="62"/>
      <c r="AB7" s="61"/>
      <c r="AC7" s="61"/>
      <c r="AD7" s="59"/>
      <c r="AE7" s="59"/>
      <c r="AF7" s="59"/>
      <c r="AG7" s="59"/>
      <c r="AH7" s="61"/>
      <c r="AI7" s="59"/>
      <c r="AJ7" s="59"/>
      <c r="AK7" s="62"/>
      <c r="AL7" s="61"/>
      <c r="AM7" s="61"/>
      <c r="AN7" s="59"/>
      <c r="AO7" s="59"/>
      <c r="AP7" s="59"/>
      <c r="AQ7" s="59"/>
      <c r="AR7" s="61"/>
      <c r="AS7" s="59"/>
      <c r="AT7" s="59"/>
      <c r="AU7" s="62"/>
      <c r="AV7" s="61"/>
      <c r="AW7" s="61"/>
      <c r="AX7" s="59"/>
      <c r="AY7" s="59"/>
      <c r="AZ7" s="59"/>
      <c r="BA7" s="59"/>
      <c r="BB7" s="61"/>
      <c r="BC7" s="59"/>
      <c r="BD7" s="59"/>
      <c r="BE7" s="62"/>
      <c r="BF7" s="61"/>
      <c r="BG7" s="40">
        <f>BH7</f>
        <v>0</v>
      </c>
      <c r="BH7" s="40">
        <f>BJ7*BM7</f>
        <v>0</v>
      </c>
      <c r="BI7" s="41"/>
      <c r="BJ7" s="40">
        <f>BI7*C7/1000</f>
        <v>0</v>
      </c>
      <c r="BK7" s="41"/>
      <c r="BL7" s="63"/>
      <c r="BM7" s="40">
        <f>BK7*BL7</f>
        <v>0</v>
      </c>
      <c r="BN7" s="61"/>
      <c r="BO7" s="61"/>
      <c r="BP7" s="61" t="e">
        <f>BO7/BN7*100</f>
        <v>#DIV/0!</v>
      </c>
      <c r="BQ7" s="61"/>
      <c r="BR7" s="61"/>
      <c r="BS7" s="61"/>
      <c r="BT7" s="61"/>
      <c r="BU7" s="61"/>
      <c r="BV7" s="61"/>
      <c r="BW7" s="61"/>
      <c r="BX7" s="40">
        <f>SUM(BY7:CA7)</f>
        <v>0</v>
      </c>
      <c r="BY7" s="61"/>
      <c r="BZ7" s="61"/>
      <c r="CA7" s="61"/>
      <c r="CB7" s="61"/>
      <c r="CC7" s="61"/>
      <c r="CD7" s="61">
        <f>N7+O7+Q7+R7+BG7+BN7+BO7+BQ7+BW7+BX7-CB7+CC7+BS7+BT7+BU7+BV7+BR7</f>
        <v>0</v>
      </c>
      <c r="CE7" s="40">
        <f>SUM(CF7:CI7)</f>
        <v>0</v>
      </c>
      <c r="CF7" s="61"/>
      <c r="CG7" s="61"/>
      <c r="CH7" s="61"/>
      <c r="CI7" s="61"/>
      <c r="CJ7" s="40">
        <f>CD7+CE7</f>
        <v>0</v>
      </c>
      <c r="CK7" s="40" t="e">
        <f>CJ7/J7*1000</f>
        <v>#DIV/0!</v>
      </c>
      <c r="CL7" s="54" t="s">
        <v>69</v>
      </c>
      <c r="CM7" s="41"/>
      <c r="CN7" s="59"/>
      <c r="CO7" s="59"/>
      <c r="CP7" s="59"/>
    </row>
    <row r="8" spans="1:94" s="64" customFormat="1" ht="13.5" hidden="1">
      <c r="A8" s="58"/>
      <c r="B8" s="59" t="s">
        <v>96</v>
      </c>
      <c r="C8" s="60"/>
      <c r="D8" s="60"/>
      <c r="E8" s="60"/>
      <c r="F8" s="49">
        <f>C8-D8+E8</f>
        <v>0</v>
      </c>
      <c r="G8" s="60"/>
      <c r="H8" s="60" t="e">
        <f>G8/F8*100</f>
        <v>#DIV/0!</v>
      </c>
      <c r="I8" s="40">
        <f>F8-G8</f>
        <v>0</v>
      </c>
      <c r="J8" s="40">
        <f>SUM(K8:M8)</f>
        <v>0</v>
      </c>
      <c r="K8" s="59"/>
      <c r="L8" s="59"/>
      <c r="M8" s="59"/>
      <c r="N8" s="59"/>
      <c r="O8" s="59"/>
      <c r="P8" s="59"/>
      <c r="Q8" s="59"/>
      <c r="R8" s="59"/>
      <c r="S8" s="61"/>
      <c r="T8" s="59"/>
      <c r="U8" s="59"/>
      <c r="V8" s="59"/>
      <c r="W8" s="59"/>
      <c r="X8" s="61"/>
      <c r="Y8" s="59"/>
      <c r="Z8" s="59"/>
      <c r="AA8" s="62"/>
      <c r="AB8" s="61"/>
      <c r="AC8" s="61"/>
      <c r="AD8" s="59"/>
      <c r="AE8" s="59"/>
      <c r="AF8" s="59"/>
      <c r="AG8" s="59"/>
      <c r="AH8" s="61"/>
      <c r="AI8" s="59"/>
      <c r="AJ8" s="59"/>
      <c r="AK8" s="62"/>
      <c r="AL8" s="61"/>
      <c r="AM8" s="61"/>
      <c r="AN8" s="59"/>
      <c r="AO8" s="59"/>
      <c r="AP8" s="59"/>
      <c r="AQ8" s="59"/>
      <c r="AR8" s="61"/>
      <c r="AS8" s="59"/>
      <c r="AT8" s="59"/>
      <c r="AU8" s="62"/>
      <c r="AV8" s="61"/>
      <c r="AW8" s="61"/>
      <c r="AX8" s="59"/>
      <c r="AY8" s="59"/>
      <c r="AZ8" s="59"/>
      <c r="BA8" s="59"/>
      <c r="BB8" s="61"/>
      <c r="BC8" s="59"/>
      <c r="BD8" s="59"/>
      <c r="BE8" s="62"/>
      <c r="BF8" s="61"/>
      <c r="BG8" s="40">
        <f>BH8</f>
        <v>0</v>
      </c>
      <c r="BH8" s="40">
        <f>BJ8*BM8</f>
        <v>0</v>
      </c>
      <c r="BI8" s="41"/>
      <c r="BJ8" s="40">
        <f>BI8*C8/1000</f>
        <v>0</v>
      </c>
      <c r="BK8" s="41"/>
      <c r="BL8" s="63"/>
      <c r="BM8" s="40">
        <f>BK8*BL8</f>
        <v>0</v>
      </c>
      <c r="BN8" s="61"/>
      <c r="BO8" s="61"/>
      <c r="BP8" s="61" t="e">
        <f>BO8/BN8*100</f>
        <v>#DIV/0!</v>
      </c>
      <c r="BQ8" s="61"/>
      <c r="BR8" s="61"/>
      <c r="BS8" s="61"/>
      <c r="BT8" s="61"/>
      <c r="BU8" s="61"/>
      <c r="BV8" s="61"/>
      <c r="BW8" s="61"/>
      <c r="BX8" s="40">
        <f>SUM(BY8:CA8)</f>
        <v>0</v>
      </c>
      <c r="BY8" s="61"/>
      <c r="BZ8" s="61"/>
      <c r="CA8" s="61"/>
      <c r="CB8" s="61"/>
      <c r="CC8" s="61"/>
      <c r="CD8" s="61">
        <f>N8+O8+Q8+R8+BG8+BN8+BO8+BQ8+BW8+BX8-CB8+CC8+BS8+BT8+BU8+BV8+BR8</f>
        <v>0</v>
      </c>
      <c r="CE8" s="40">
        <f>SUM(CF8:CI8)</f>
        <v>0</v>
      </c>
      <c r="CF8" s="61"/>
      <c r="CG8" s="61"/>
      <c r="CH8" s="61"/>
      <c r="CI8" s="61"/>
      <c r="CJ8" s="40">
        <f>CD8+CE8</f>
        <v>0</v>
      </c>
      <c r="CK8" s="40" t="e">
        <f>CJ8/J8*1000</f>
        <v>#DIV/0!</v>
      </c>
      <c r="CL8" s="54" t="s">
        <v>70</v>
      </c>
      <c r="CM8" s="41"/>
      <c r="CN8" s="59"/>
      <c r="CO8" s="59"/>
      <c r="CP8" s="59"/>
    </row>
    <row r="9" spans="1:94" ht="13.5" hidden="1">
      <c r="A9" s="55">
        <v>2</v>
      </c>
      <c r="B9" s="56" t="s">
        <v>72</v>
      </c>
      <c r="C9" s="56">
        <f>SUM(C10:C11)</f>
        <v>272429.772</v>
      </c>
      <c r="D9" s="56">
        <f>SUM(D10:D11)</f>
        <v>0</v>
      </c>
      <c r="E9" s="56">
        <f>SUM(E10:E11)</f>
        <v>0</v>
      </c>
      <c r="F9" s="56">
        <f>SUM(F10:F11)</f>
        <v>272429.772</v>
      </c>
      <c r="G9" s="56">
        <f>SUM(G10:G11)</f>
        <v>0</v>
      </c>
      <c r="H9" s="56">
        <f>G9/F9*100</f>
        <v>0</v>
      </c>
      <c r="I9" s="56">
        <f>SUM(I10:I11)</f>
        <v>272429.772</v>
      </c>
      <c r="J9" s="56">
        <f>SUM(J10:J11)</f>
        <v>272429.772</v>
      </c>
      <c r="K9" s="56">
        <f>SUM(K10:K11)</f>
        <v>168696.63199999998</v>
      </c>
      <c r="L9" s="56">
        <f>SUM(L10:L11)</f>
        <v>34018.2</v>
      </c>
      <c r="M9" s="56">
        <f>SUM(M10:M11)</f>
        <v>69714.94</v>
      </c>
      <c r="N9" s="56"/>
      <c r="O9" s="56">
        <f>SUM(O10:O11)</f>
        <v>0</v>
      </c>
      <c r="P9" s="56">
        <f>SUM(P10:P11)</f>
        <v>0</v>
      </c>
      <c r="Q9" s="56">
        <f>SUM(Q10:Q11)</f>
        <v>0</v>
      </c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>
        <f>SUM(BG10:BG11)</f>
        <v>2333.1597299886157</v>
      </c>
      <c r="BH9" s="56">
        <f>SUM(BH10:BH11)</f>
        <v>2333.1597299886157</v>
      </c>
      <c r="BI9" s="56">
        <f>BJ9/C9*1000</f>
        <v>2.2767477804268768</v>
      </c>
      <c r="BJ9" s="56">
        <f>SUM(BJ10:BJ11)</f>
        <v>620.2538787232</v>
      </c>
      <c r="BK9" s="56"/>
      <c r="BL9" s="56"/>
      <c r="BM9" s="56">
        <f>BG9/BJ9</f>
        <v>3.761620539627181</v>
      </c>
      <c r="BN9" s="56">
        <f>SUM(BN10:BN11)</f>
        <v>3768.4610000000002</v>
      </c>
      <c r="BO9" s="56">
        <f>SUM(BO10:BO11)</f>
        <v>1138.076</v>
      </c>
      <c r="BP9" s="56">
        <f>BO9/BN9*100</f>
        <v>30.200020645032545</v>
      </c>
      <c r="BQ9" s="56">
        <f aca="true" t="shared" si="1" ref="BQ9:CJ9">SUM(BQ10:BQ11)</f>
        <v>0</v>
      </c>
      <c r="BR9" s="56">
        <f t="shared" si="1"/>
        <v>0</v>
      </c>
      <c r="BS9" s="56">
        <f t="shared" si="1"/>
        <v>1084.1399999999999</v>
      </c>
      <c r="BT9" s="56">
        <f t="shared" si="1"/>
        <v>87.97</v>
      </c>
      <c r="BU9" s="56">
        <f t="shared" si="1"/>
        <v>0</v>
      </c>
      <c r="BV9" s="56">
        <f t="shared" si="1"/>
        <v>0</v>
      </c>
      <c r="BW9" s="56">
        <f t="shared" si="1"/>
        <v>1042.8175519999998</v>
      </c>
      <c r="BX9" s="56">
        <f t="shared" si="1"/>
        <v>2346.417</v>
      </c>
      <c r="BY9" s="56">
        <f t="shared" si="1"/>
        <v>0</v>
      </c>
      <c r="BZ9" s="56">
        <f t="shared" si="1"/>
        <v>1619.3658840000003</v>
      </c>
      <c r="CA9" s="56">
        <f t="shared" si="1"/>
        <v>727.0511159999999</v>
      </c>
      <c r="CB9" s="56">
        <f t="shared" si="1"/>
        <v>606.97</v>
      </c>
      <c r="CC9" s="56">
        <f t="shared" si="1"/>
        <v>0</v>
      </c>
      <c r="CD9" s="56">
        <f t="shared" si="1"/>
        <v>11194.071281988618</v>
      </c>
      <c r="CE9" s="56">
        <f t="shared" si="1"/>
        <v>118.00999999999999</v>
      </c>
      <c r="CF9" s="56">
        <f t="shared" si="1"/>
        <v>0</v>
      </c>
      <c r="CG9" s="56">
        <f t="shared" si="1"/>
        <v>0</v>
      </c>
      <c r="CH9" s="56">
        <f t="shared" si="1"/>
        <v>118.00999999999999</v>
      </c>
      <c r="CI9" s="56">
        <f t="shared" si="1"/>
        <v>0</v>
      </c>
      <c r="CJ9" s="56">
        <f t="shared" si="1"/>
        <v>11312.081281988616</v>
      </c>
      <c r="CK9" s="56">
        <f>CJ9/J9*1000</f>
        <v>41.52292606987395</v>
      </c>
      <c r="CL9" s="56"/>
      <c r="CM9" s="56">
        <f>SUM(CM10:CM11)</f>
        <v>0</v>
      </c>
      <c r="CN9" s="57"/>
      <c r="CO9" s="57"/>
      <c r="CP9" s="57"/>
    </row>
    <row r="10" spans="1:94" s="108" customFormat="1" ht="15" hidden="1">
      <c r="A10" s="65"/>
      <c r="B10" s="93" t="s">
        <v>97</v>
      </c>
      <c r="C10" s="102">
        <v>146461.972</v>
      </c>
      <c r="D10" s="102">
        <v>0</v>
      </c>
      <c r="E10" s="102"/>
      <c r="F10" s="103">
        <f>C10-D10+E10</f>
        <v>146461.972</v>
      </c>
      <c r="G10" s="102"/>
      <c r="H10" s="102">
        <f>G10/F10*100</f>
        <v>0</v>
      </c>
      <c r="I10" s="104">
        <f>F10-G10</f>
        <v>146461.972</v>
      </c>
      <c r="J10" s="104">
        <f>SUM(K10:M10)</f>
        <v>146461.972</v>
      </c>
      <c r="K10" s="105">
        <v>88426.432</v>
      </c>
      <c r="L10" s="106">
        <v>27875.2</v>
      </c>
      <c r="M10" s="93">
        <v>30160.34</v>
      </c>
      <c r="N10" s="93"/>
      <c r="O10" s="93">
        <v>0</v>
      </c>
      <c r="P10" s="93">
        <v>0</v>
      </c>
      <c r="Q10" s="93">
        <v>0</v>
      </c>
      <c r="R10" s="93"/>
      <c r="S10" s="104"/>
      <c r="T10" s="93"/>
      <c r="U10" s="93"/>
      <c r="V10" s="93"/>
      <c r="W10" s="93"/>
      <c r="X10" s="104"/>
      <c r="Y10" s="93"/>
      <c r="Z10" s="93"/>
      <c r="AA10" s="107"/>
      <c r="AB10" s="104"/>
      <c r="AC10" s="104"/>
      <c r="AD10" s="93"/>
      <c r="AE10" s="93"/>
      <c r="AF10" s="93"/>
      <c r="AG10" s="93"/>
      <c r="AH10" s="104"/>
      <c r="AI10" s="93"/>
      <c r="AJ10" s="93"/>
      <c r="AK10" s="107"/>
      <c r="AL10" s="104"/>
      <c r="AM10" s="104"/>
      <c r="AN10" s="93"/>
      <c r="AO10" s="93"/>
      <c r="AP10" s="93"/>
      <c r="AQ10" s="93"/>
      <c r="AR10" s="104"/>
      <c r="AS10" s="93"/>
      <c r="AT10" s="93"/>
      <c r="AU10" s="107"/>
      <c r="AV10" s="104"/>
      <c r="AW10" s="104"/>
      <c r="AX10" s="93"/>
      <c r="AY10" s="93"/>
      <c r="AZ10" s="93"/>
      <c r="BA10" s="93"/>
      <c r="BB10" s="104"/>
      <c r="BC10" s="93"/>
      <c r="BD10" s="93"/>
      <c r="BE10" s="107"/>
      <c r="BF10" s="104"/>
      <c r="BG10" s="104">
        <f>BH10</f>
        <v>1760.6297302114956</v>
      </c>
      <c r="BH10" s="104">
        <f>BJ10*BM10</f>
        <v>1760.6297302114956</v>
      </c>
      <c r="BI10" s="93">
        <v>3.3456</v>
      </c>
      <c r="BJ10" s="104">
        <f>BI10*C10/1000</f>
        <v>490.0031735232</v>
      </c>
      <c r="BK10" s="93">
        <v>3.351771107656186</v>
      </c>
      <c r="BL10" s="107">
        <v>1.072</v>
      </c>
      <c r="BM10" s="104">
        <f>BK10*BL10</f>
        <v>3.5930986274074317</v>
      </c>
      <c r="BN10" s="104">
        <v>2975.931</v>
      </c>
      <c r="BO10" s="104">
        <v>898.732</v>
      </c>
      <c r="BP10" s="104">
        <f>BO10/BN10*100</f>
        <v>30.200028159255034</v>
      </c>
      <c r="BQ10" s="104">
        <v>0</v>
      </c>
      <c r="BR10" s="104">
        <v>0</v>
      </c>
      <c r="BS10" s="104">
        <v>984.14</v>
      </c>
      <c r="BT10" s="104">
        <v>51.37</v>
      </c>
      <c r="BU10" s="104"/>
      <c r="BV10" s="104"/>
      <c r="BW10" s="104">
        <v>1042.8175519999998</v>
      </c>
      <c r="BX10" s="104">
        <v>1835.423</v>
      </c>
      <c r="BY10" s="104"/>
      <c r="BZ10" s="104">
        <f>2861.327*49.2%</f>
        <v>1407.7728840000002</v>
      </c>
      <c r="CA10" s="104">
        <f>BX10-BZ10</f>
        <v>427.6501159999998</v>
      </c>
      <c r="CB10" s="104">
        <v>606.97</v>
      </c>
      <c r="CC10" s="104"/>
      <c r="CD10" s="104">
        <f>N10+O10+Q10+R10+BG10+BN10+BO10+BQ10+BW10+BX10-CB10+CC10+BS10+BT10+BU10+BV10+BR10</f>
        <v>8942.073282211497</v>
      </c>
      <c r="CE10" s="104">
        <f>SUM(CF10:CI10)</f>
        <v>95.49</v>
      </c>
      <c r="CF10" s="104"/>
      <c r="CG10" s="104"/>
      <c r="CH10" s="104">
        <v>95.49</v>
      </c>
      <c r="CI10" s="104"/>
      <c r="CJ10" s="104">
        <f>CD10+CE10</f>
        <v>9037.563282211497</v>
      </c>
      <c r="CK10" s="104">
        <f>CJ10/J10*1000</f>
        <v>61.70586916726409</v>
      </c>
      <c r="CL10" s="94" t="s">
        <v>70</v>
      </c>
      <c r="CM10" s="93"/>
      <c r="CN10" s="93" t="s">
        <v>114</v>
      </c>
      <c r="CO10" s="93">
        <v>61.71</v>
      </c>
      <c r="CP10" s="93">
        <v>61.71</v>
      </c>
    </row>
    <row r="11" spans="1:94" s="108" customFormat="1" ht="13.5" hidden="1">
      <c r="A11" s="65"/>
      <c r="B11" s="93" t="s">
        <v>73</v>
      </c>
      <c r="C11" s="102">
        <v>125967.79999999999</v>
      </c>
      <c r="D11" s="102">
        <v>0</v>
      </c>
      <c r="E11" s="102"/>
      <c r="F11" s="103">
        <f>C11-D11+E11</f>
        <v>125967.79999999999</v>
      </c>
      <c r="G11" s="102"/>
      <c r="H11" s="102">
        <f>G11/F11*100</f>
        <v>0</v>
      </c>
      <c r="I11" s="104">
        <f>F11-G11</f>
        <v>125967.79999999999</v>
      </c>
      <c r="J11" s="104">
        <f>SUM(K11:M11)</f>
        <v>125967.79999999999</v>
      </c>
      <c r="K11" s="93">
        <v>80270.2</v>
      </c>
      <c r="L11" s="93">
        <v>6143</v>
      </c>
      <c r="M11" s="93">
        <v>39554.6</v>
      </c>
      <c r="N11" s="93"/>
      <c r="O11" s="93">
        <v>0</v>
      </c>
      <c r="P11" s="93">
        <v>0</v>
      </c>
      <c r="Q11" s="93">
        <v>0</v>
      </c>
      <c r="R11" s="93"/>
      <c r="S11" s="104"/>
      <c r="T11" s="93"/>
      <c r="U11" s="93"/>
      <c r="V11" s="93"/>
      <c r="W11" s="93"/>
      <c r="X11" s="104"/>
      <c r="Y11" s="93"/>
      <c r="Z11" s="93"/>
      <c r="AA11" s="107"/>
      <c r="AB11" s="104"/>
      <c r="AC11" s="104"/>
      <c r="AD11" s="93"/>
      <c r="AE11" s="93"/>
      <c r="AF11" s="93"/>
      <c r="AG11" s="93"/>
      <c r="AH11" s="104"/>
      <c r="AI11" s="93"/>
      <c r="AJ11" s="93"/>
      <c r="AK11" s="107"/>
      <c r="AL11" s="104"/>
      <c r="AM11" s="104"/>
      <c r="AN11" s="93"/>
      <c r="AO11" s="93"/>
      <c r="AP11" s="93"/>
      <c r="AQ11" s="93"/>
      <c r="AR11" s="104"/>
      <c r="AS11" s="93"/>
      <c r="AT11" s="93"/>
      <c r="AU11" s="107"/>
      <c r="AV11" s="104"/>
      <c r="AW11" s="104"/>
      <c r="AX11" s="93"/>
      <c r="AY11" s="93"/>
      <c r="AZ11" s="93"/>
      <c r="BA11" s="93"/>
      <c r="BB11" s="104"/>
      <c r="BC11" s="93"/>
      <c r="BD11" s="93"/>
      <c r="BE11" s="107"/>
      <c r="BF11" s="104"/>
      <c r="BG11" s="104">
        <f>BH11</f>
        <v>572.52999977712</v>
      </c>
      <c r="BH11" s="104">
        <f>BJ11*BM11</f>
        <v>572.52999977712</v>
      </c>
      <c r="BI11" s="93">
        <v>1.034</v>
      </c>
      <c r="BJ11" s="104">
        <f>BI11*C11/1000</f>
        <v>130.2507052</v>
      </c>
      <c r="BK11" s="93">
        <v>3.96</v>
      </c>
      <c r="BL11" s="107">
        <v>1.11</v>
      </c>
      <c r="BM11" s="104">
        <f>BK11*BL11</f>
        <v>4.3956</v>
      </c>
      <c r="BN11" s="104">
        <v>792.53</v>
      </c>
      <c r="BO11" s="104">
        <v>239.344</v>
      </c>
      <c r="BP11" s="104">
        <f>BO11/BN11*100</f>
        <v>30.19999242930867</v>
      </c>
      <c r="BQ11" s="104">
        <v>0</v>
      </c>
      <c r="BR11" s="104">
        <v>0</v>
      </c>
      <c r="BS11" s="104">
        <v>100</v>
      </c>
      <c r="BT11" s="104">
        <v>36.6</v>
      </c>
      <c r="BU11" s="104"/>
      <c r="BV11" s="104"/>
      <c r="BW11" s="104">
        <v>0</v>
      </c>
      <c r="BX11" s="104">
        <f>SUM(BY11:CA11)</f>
        <v>510.994</v>
      </c>
      <c r="BY11" s="104"/>
      <c r="BZ11" s="104">
        <f>211.593</f>
        <v>211.593</v>
      </c>
      <c r="CA11" s="104">
        <v>299.40100000000007</v>
      </c>
      <c r="CB11" s="104">
        <v>0</v>
      </c>
      <c r="CC11" s="104"/>
      <c r="CD11" s="104">
        <f>N11+O11+Q11+R11+BG11+BN11+BO11+BQ11+BW11+BX11-CB11+CC11+BS11+BT11+BU11+BV11+BR11</f>
        <v>2251.99799977712</v>
      </c>
      <c r="CE11" s="104">
        <f>SUM(CF11:CI11)</f>
        <v>22.52</v>
      </c>
      <c r="CF11" s="104"/>
      <c r="CG11" s="104"/>
      <c r="CH11" s="104">
        <v>22.52</v>
      </c>
      <c r="CI11" s="104"/>
      <c r="CJ11" s="104">
        <f>CD11+CE11</f>
        <v>2274.51799977712</v>
      </c>
      <c r="CK11" s="104">
        <f>CJ11/J11*1000</f>
        <v>18.056344556125616</v>
      </c>
      <c r="CL11" s="94" t="s">
        <v>70</v>
      </c>
      <c r="CM11" s="93"/>
      <c r="CN11" s="93" t="s">
        <v>115</v>
      </c>
      <c r="CO11" s="93">
        <v>17.61</v>
      </c>
      <c r="CP11" s="93">
        <v>18.5</v>
      </c>
    </row>
    <row r="12" spans="1:94" ht="13.5">
      <c r="A12" s="55">
        <v>16</v>
      </c>
      <c r="B12" s="56" t="s">
        <v>74</v>
      </c>
      <c r="C12" s="66">
        <f>SUM(C13:C16)</f>
        <v>537951.24</v>
      </c>
      <c r="D12" s="66">
        <f>SUM(D13:D16)</f>
        <v>9169.78</v>
      </c>
      <c r="E12" s="66">
        <f>SUM(E13:E16)</f>
        <v>0</v>
      </c>
      <c r="F12" s="66">
        <f>SUM(F13:F16)</f>
        <v>528781.46</v>
      </c>
      <c r="G12" s="66">
        <f>SUM(G13:G16)</f>
        <v>20672.760000000002</v>
      </c>
      <c r="H12" s="56">
        <f>G12/F12*100</f>
        <v>3.9095092327934498</v>
      </c>
      <c r="I12" s="66">
        <f aca="true" t="shared" si="2" ref="I12:AN12">SUM(I13:I16)</f>
        <v>508108.7</v>
      </c>
      <c r="J12" s="66">
        <f t="shared" si="2"/>
        <v>508108.7</v>
      </c>
      <c r="K12" s="66">
        <f t="shared" si="2"/>
        <v>220205.55</v>
      </c>
      <c r="L12" s="66">
        <f t="shared" si="2"/>
        <v>68787.63</v>
      </c>
      <c r="M12" s="66">
        <f t="shared" si="2"/>
        <v>219115.52</v>
      </c>
      <c r="N12" s="66">
        <f t="shared" si="2"/>
        <v>0</v>
      </c>
      <c r="O12" s="66">
        <f t="shared" si="2"/>
        <v>269.854</v>
      </c>
      <c r="P12" s="66">
        <f t="shared" si="2"/>
        <v>269.854</v>
      </c>
      <c r="Q12" s="66">
        <f t="shared" si="2"/>
        <v>0</v>
      </c>
      <c r="R12" s="66">
        <f t="shared" si="2"/>
        <v>0</v>
      </c>
      <c r="S12" s="66">
        <f t="shared" si="2"/>
        <v>0</v>
      </c>
      <c r="T12" s="66">
        <f t="shared" si="2"/>
        <v>0</v>
      </c>
      <c r="U12" s="66">
        <f t="shared" si="2"/>
        <v>0</v>
      </c>
      <c r="V12" s="66">
        <f t="shared" si="2"/>
        <v>0</v>
      </c>
      <c r="W12" s="66">
        <f t="shared" si="2"/>
        <v>0</v>
      </c>
      <c r="X12" s="66">
        <f t="shared" si="2"/>
        <v>0</v>
      </c>
      <c r="Y12" s="66">
        <f t="shared" si="2"/>
        <v>0</v>
      </c>
      <c r="Z12" s="66">
        <f t="shared" si="2"/>
        <v>0</v>
      </c>
      <c r="AA12" s="66">
        <f t="shared" si="2"/>
        <v>0</v>
      </c>
      <c r="AB12" s="66">
        <f t="shared" si="2"/>
        <v>0</v>
      </c>
      <c r="AC12" s="66">
        <f t="shared" si="2"/>
        <v>0</v>
      </c>
      <c r="AD12" s="66">
        <f t="shared" si="2"/>
        <v>0</v>
      </c>
      <c r="AE12" s="66">
        <f t="shared" si="2"/>
        <v>0</v>
      </c>
      <c r="AF12" s="66">
        <f t="shared" si="2"/>
        <v>0</v>
      </c>
      <c r="AG12" s="66">
        <f t="shared" si="2"/>
        <v>0</v>
      </c>
      <c r="AH12" s="66">
        <f t="shared" si="2"/>
        <v>0</v>
      </c>
      <c r="AI12" s="66">
        <f t="shared" si="2"/>
        <v>0</v>
      </c>
      <c r="AJ12" s="66">
        <f t="shared" si="2"/>
        <v>0</v>
      </c>
      <c r="AK12" s="66">
        <f t="shared" si="2"/>
        <v>0</v>
      </c>
      <c r="AL12" s="66">
        <f t="shared" si="2"/>
        <v>0</v>
      </c>
      <c r="AM12" s="66">
        <f t="shared" si="2"/>
        <v>0</v>
      </c>
      <c r="AN12" s="66">
        <f t="shared" si="2"/>
        <v>0</v>
      </c>
      <c r="AO12" s="66">
        <f aca="true" t="shared" si="3" ref="AO12:BH12">SUM(AO13:AO16)</f>
        <v>0</v>
      </c>
      <c r="AP12" s="66">
        <f t="shared" si="3"/>
        <v>0</v>
      </c>
      <c r="AQ12" s="66">
        <f t="shared" si="3"/>
        <v>0</v>
      </c>
      <c r="AR12" s="66">
        <f t="shared" si="3"/>
        <v>0</v>
      </c>
      <c r="AS12" s="66">
        <f t="shared" si="3"/>
        <v>0</v>
      </c>
      <c r="AT12" s="66">
        <f t="shared" si="3"/>
        <v>0</v>
      </c>
      <c r="AU12" s="66">
        <f t="shared" si="3"/>
        <v>0</v>
      </c>
      <c r="AV12" s="66">
        <f t="shared" si="3"/>
        <v>0</v>
      </c>
      <c r="AW12" s="66">
        <f t="shared" si="3"/>
        <v>0</v>
      </c>
      <c r="AX12" s="66">
        <f t="shared" si="3"/>
        <v>0</v>
      </c>
      <c r="AY12" s="66">
        <f t="shared" si="3"/>
        <v>0</v>
      </c>
      <c r="AZ12" s="66">
        <f t="shared" si="3"/>
        <v>0</v>
      </c>
      <c r="BA12" s="66">
        <f t="shared" si="3"/>
        <v>0</v>
      </c>
      <c r="BB12" s="66">
        <f t="shared" si="3"/>
        <v>0</v>
      </c>
      <c r="BC12" s="66">
        <f t="shared" si="3"/>
        <v>0</v>
      </c>
      <c r="BD12" s="66">
        <f t="shared" si="3"/>
        <v>0</v>
      </c>
      <c r="BE12" s="66">
        <f t="shared" si="3"/>
        <v>0</v>
      </c>
      <c r="BF12" s="66">
        <f t="shared" si="3"/>
        <v>0</v>
      </c>
      <c r="BG12" s="66">
        <f t="shared" si="3"/>
        <v>6773.7364457218555</v>
      </c>
      <c r="BH12" s="66">
        <f t="shared" si="3"/>
        <v>6773.7364457218555</v>
      </c>
      <c r="BI12" s="56">
        <f>BJ12/C12*1000</f>
        <v>3.0903296100034665</v>
      </c>
      <c r="BJ12" s="66">
        <f>SUM(BJ13:BJ16)</f>
        <v>1662.4466457100812</v>
      </c>
      <c r="BK12" s="68"/>
      <c r="BL12" s="68"/>
      <c r="BM12" s="56">
        <f>BG12/BJ12</f>
        <v>4.074558701298103</v>
      </c>
      <c r="BN12" s="66">
        <f>SUM(BN13:BN16)</f>
        <v>5343.963000000001</v>
      </c>
      <c r="BO12" s="66">
        <f>SUM(BO13:BO16)</f>
        <v>1613.872</v>
      </c>
      <c r="BP12" s="56">
        <f>BO12/BN12*100</f>
        <v>30.199909692488514</v>
      </c>
      <c r="BQ12" s="66">
        <f aca="true" t="shared" si="4" ref="BQ12:CJ12">SUM(BQ13:BQ16)</f>
        <v>36.9</v>
      </c>
      <c r="BR12" s="66">
        <f t="shared" si="4"/>
        <v>0</v>
      </c>
      <c r="BS12" s="66">
        <f t="shared" si="4"/>
        <v>471.41</v>
      </c>
      <c r="BT12" s="66">
        <f t="shared" si="4"/>
        <v>257.99699999999996</v>
      </c>
      <c r="BU12" s="66">
        <f t="shared" si="4"/>
        <v>0</v>
      </c>
      <c r="BV12" s="66">
        <f t="shared" si="4"/>
        <v>0</v>
      </c>
      <c r="BW12" s="66">
        <f t="shared" si="4"/>
        <v>2470.2470000000003</v>
      </c>
      <c r="BX12" s="66">
        <f t="shared" si="4"/>
        <v>2688.27</v>
      </c>
      <c r="BY12" s="66">
        <f t="shared" si="4"/>
        <v>552.479</v>
      </c>
      <c r="BZ12" s="66">
        <f t="shared" si="4"/>
        <v>1501.019</v>
      </c>
      <c r="CA12" s="66">
        <f t="shared" si="4"/>
        <v>634.7720000000002</v>
      </c>
      <c r="CB12" s="66">
        <f t="shared" si="4"/>
        <v>0</v>
      </c>
      <c r="CC12" s="66">
        <f t="shared" si="4"/>
        <v>0</v>
      </c>
      <c r="CD12" s="66">
        <f t="shared" si="4"/>
        <v>19926.249445721853</v>
      </c>
      <c r="CE12" s="66">
        <f t="shared" si="4"/>
        <v>128.75</v>
      </c>
      <c r="CF12" s="66">
        <f t="shared" si="4"/>
        <v>0</v>
      </c>
      <c r="CG12" s="66">
        <f t="shared" si="4"/>
        <v>0</v>
      </c>
      <c r="CH12" s="66">
        <f t="shared" si="4"/>
        <v>128.75</v>
      </c>
      <c r="CI12" s="66">
        <f t="shared" si="4"/>
        <v>0</v>
      </c>
      <c r="CJ12" s="66">
        <f t="shared" si="4"/>
        <v>20054.999445721856</v>
      </c>
      <c r="CK12" s="56">
        <f aca="true" t="shared" si="5" ref="CK12:CK19">CJ12/J12*1000</f>
        <v>39.469899739409804</v>
      </c>
      <c r="CL12" s="69"/>
      <c r="CM12" s="66">
        <f>SUM(CM13:CM16)</f>
        <v>1330.643</v>
      </c>
      <c r="CN12" s="57"/>
      <c r="CO12" s="57"/>
      <c r="CP12" s="57"/>
    </row>
    <row r="13" spans="1:94" s="64" customFormat="1" ht="13.5">
      <c r="A13" s="65"/>
      <c r="B13" s="59" t="s">
        <v>108</v>
      </c>
      <c r="C13" s="60">
        <v>29056</v>
      </c>
      <c r="D13" s="60"/>
      <c r="E13" s="60"/>
      <c r="F13" s="100">
        <f>C13-D13+E13</f>
        <v>29056</v>
      </c>
      <c r="G13" s="60">
        <v>762</v>
      </c>
      <c r="H13" s="101">
        <f>G13/F13</f>
        <v>0.02622522026431718</v>
      </c>
      <c r="I13" s="61">
        <f>F13-G13</f>
        <v>28294</v>
      </c>
      <c r="J13" s="61">
        <f>SUM(K13:M13)</f>
        <v>28294</v>
      </c>
      <c r="K13" s="59">
        <v>1899</v>
      </c>
      <c r="L13" s="59">
        <v>0</v>
      </c>
      <c r="M13" s="59">
        <v>26395</v>
      </c>
      <c r="N13" s="59"/>
      <c r="O13" s="59">
        <v>33.005</v>
      </c>
      <c r="P13" s="59">
        <v>33.005</v>
      </c>
      <c r="Q13" s="59"/>
      <c r="R13" s="59"/>
      <c r="S13" s="61"/>
      <c r="T13" s="59"/>
      <c r="U13" s="59"/>
      <c r="V13" s="59"/>
      <c r="W13" s="59"/>
      <c r="X13" s="61"/>
      <c r="Y13" s="59"/>
      <c r="Z13" s="59"/>
      <c r="AA13" s="62"/>
      <c r="AB13" s="61"/>
      <c r="AC13" s="61"/>
      <c r="AD13" s="59"/>
      <c r="AE13" s="59"/>
      <c r="AF13" s="59"/>
      <c r="AG13" s="59"/>
      <c r="AH13" s="61"/>
      <c r="AI13" s="59"/>
      <c r="AJ13" s="59"/>
      <c r="AK13" s="62"/>
      <c r="AL13" s="61"/>
      <c r="AM13" s="61"/>
      <c r="AN13" s="59"/>
      <c r="AO13" s="59"/>
      <c r="AP13" s="59"/>
      <c r="AQ13" s="59"/>
      <c r="AR13" s="61"/>
      <c r="AS13" s="59"/>
      <c r="AT13" s="59"/>
      <c r="AU13" s="62"/>
      <c r="AV13" s="61"/>
      <c r="AW13" s="61"/>
      <c r="AX13" s="59"/>
      <c r="AY13" s="59"/>
      <c r="AZ13" s="59"/>
      <c r="BA13" s="59"/>
      <c r="BB13" s="61"/>
      <c r="BC13" s="59"/>
      <c r="BD13" s="59"/>
      <c r="BE13" s="62"/>
      <c r="BF13" s="61"/>
      <c r="BG13" s="61">
        <f>BH13</f>
        <v>37.96</v>
      </c>
      <c r="BH13" s="61">
        <f>BJ13*BM13</f>
        <v>37.96</v>
      </c>
      <c r="BI13" s="59">
        <v>0.32498575404913754</v>
      </c>
      <c r="BJ13" s="61">
        <f>BI13*C13/1000</f>
        <v>9.44278606965174</v>
      </c>
      <c r="BK13" s="59">
        <v>3.75</v>
      </c>
      <c r="BL13" s="62">
        <v>1.072</v>
      </c>
      <c r="BM13" s="61">
        <f>BK13*BL13</f>
        <v>4.0200000000000005</v>
      </c>
      <c r="BN13" s="61">
        <v>152.41</v>
      </c>
      <c r="BO13" s="61">
        <v>46.028</v>
      </c>
      <c r="BP13" s="73">
        <f>BO13/BN13</f>
        <v>0.3020011810248671</v>
      </c>
      <c r="BQ13" s="61"/>
      <c r="BR13" s="61"/>
      <c r="BS13" s="61"/>
      <c r="BT13" s="61">
        <v>18.545</v>
      </c>
      <c r="BU13" s="61"/>
      <c r="BV13" s="61"/>
      <c r="BW13" s="61"/>
      <c r="BX13" s="61">
        <f>SUM(BY13:CA13)</f>
        <v>0</v>
      </c>
      <c r="BY13" s="61"/>
      <c r="BZ13" s="61"/>
      <c r="CA13" s="61"/>
      <c r="CB13" s="61"/>
      <c r="CC13" s="61"/>
      <c r="CD13" s="61">
        <f>N13+O13+Q13+R13+BG13+BN13+BO13+BQ13+BW13+BX13-CB13+CC13+BS13+BT13+BU13+BV13+BR13</f>
        <v>287.94800000000004</v>
      </c>
      <c r="CE13" s="61">
        <f>SUM(CF13:CI13)</f>
        <v>0</v>
      </c>
      <c r="CF13" s="61"/>
      <c r="CG13" s="61"/>
      <c r="CH13" s="61"/>
      <c r="CI13" s="61"/>
      <c r="CJ13" s="61">
        <f>CD13+CE13</f>
        <v>287.94800000000004</v>
      </c>
      <c r="CK13" s="61">
        <f t="shared" si="5"/>
        <v>10.176998656959073</v>
      </c>
      <c r="CL13" s="74" t="s">
        <v>69</v>
      </c>
      <c r="CM13" s="59">
        <f>P13+BQ13+BR13+BS13+BY13+CF13</f>
        <v>33.005</v>
      </c>
      <c r="CN13" s="114" t="s">
        <v>136</v>
      </c>
      <c r="CO13" s="59">
        <v>10.18</v>
      </c>
      <c r="CP13" s="59">
        <v>10.18</v>
      </c>
    </row>
    <row r="14" spans="1:94" s="64" customFormat="1" ht="30.75" customHeight="1">
      <c r="A14" s="65"/>
      <c r="B14" s="59" t="s">
        <v>107</v>
      </c>
      <c r="C14" s="60">
        <v>133472</v>
      </c>
      <c r="D14" s="60"/>
      <c r="E14" s="60"/>
      <c r="F14" s="100">
        <f>C14-D14+E14</f>
        <v>133472</v>
      </c>
      <c r="G14" s="60">
        <v>8282</v>
      </c>
      <c r="H14" s="101">
        <f>G14/F14</f>
        <v>0.062050467513785665</v>
      </c>
      <c r="I14" s="61">
        <f>F14-G14</f>
        <v>125190</v>
      </c>
      <c r="J14" s="61">
        <f>SUM(K14:M14)</f>
        <v>125190</v>
      </c>
      <c r="K14" s="59">
        <v>44124</v>
      </c>
      <c r="L14" s="59">
        <v>10022</v>
      </c>
      <c r="M14" s="59">
        <v>71044</v>
      </c>
      <c r="N14" s="59"/>
      <c r="O14" s="59"/>
      <c r="P14" s="59"/>
      <c r="Q14" s="59"/>
      <c r="R14" s="59"/>
      <c r="S14" s="61"/>
      <c r="T14" s="59"/>
      <c r="U14" s="59"/>
      <c r="V14" s="59"/>
      <c r="W14" s="59"/>
      <c r="X14" s="61"/>
      <c r="Y14" s="59"/>
      <c r="Z14" s="59"/>
      <c r="AA14" s="62"/>
      <c r="AB14" s="61"/>
      <c r="AC14" s="61"/>
      <c r="AD14" s="59"/>
      <c r="AE14" s="59"/>
      <c r="AF14" s="59"/>
      <c r="AG14" s="59"/>
      <c r="AH14" s="61"/>
      <c r="AI14" s="59"/>
      <c r="AJ14" s="59"/>
      <c r="AK14" s="62"/>
      <c r="AL14" s="61"/>
      <c r="AM14" s="61"/>
      <c r="AN14" s="59"/>
      <c r="AO14" s="59"/>
      <c r="AP14" s="59"/>
      <c r="AQ14" s="59"/>
      <c r="AR14" s="61"/>
      <c r="AS14" s="59"/>
      <c r="AT14" s="59"/>
      <c r="AU14" s="62"/>
      <c r="AV14" s="61"/>
      <c r="AW14" s="61"/>
      <c r="AX14" s="59"/>
      <c r="AY14" s="59"/>
      <c r="AZ14" s="59"/>
      <c r="BA14" s="59"/>
      <c r="BB14" s="61"/>
      <c r="BC14" s="59"/>
      <c r="BD14" s="59"/>
      <c r="BE14" s="62"/>
      <c r="BF14" s="61"/>
      <c r="BG14" s="61">
        <f>BH14</f>
        <v>3280.4399999999996</v>
      </c>
      <c r="BH14" s="61">
        <f>BJ14*BM14</f>
        <v>3280.4399999999996</v>
      </c>
      <c r="BI14" s="59">
        <v>6.049339175974348</v>
      </c>
      <c r="BJ14" s="61">
        <f>BI14*C14/1000</f>
        <v>807.4173984956482</v>
      </c>
      <c r="BK14" s="59">
        <v>3.79</v>
      </c>
      <c r="BL14" s="62">
        <v>1.072</v>
      </c>
      <c r="BM14" s="61">
        <f>BK14*BL14</f>
        <v>4.062880000000001</v>
      </c>
      <c r="BN14" s="61">
        <v>1892.42</v>
      </c>
      <c r="BO14" s="61">
        <v>571.51</v>
      </c>
      <c r="BP14" s="73">
        <f>BO14/BN14</f>
        <v>0.30199955612390483</v>
      </c>
      <c r="BQ14" s="61"/>
      <c r="BR14" s="61"/>
      <c r="BS14" s="61"/>
      <c r="BT14" s="61">
        <v>63.67</v>
      </c>
      <c r="BU14" s="61"/>
      <c r="BV14" s="61"/>
      <c r="BW14" s="61">
        <v>678.24</v>
      </c>
      <c r="BX14" s="61">
        <f>SUM(BY14:CA14)</f>
        <v>1028.18</v>
      </c>
      <c r="BY14" s="61">
        <v>499.589</v>
      </c>
      <c r="BZ14" s="61">
        <v>397.54</v>
      </c>
      <c r="CA14" s="61">
        <f>1028.18-BY14-BZ14</f>
        <v>131.0510000000001</v>
      </c>
      <c r="CB14" s="61"/>
      <c r="CC14" s="61"/>
      <c r="CD14" s="61">
        <f>N14+O14+Q14+R14+BG14+BN14+BO14+BQ14+BW14+BX14-CB14+CC14+BS14+BT14+BU14+BV14+BR14</f>
        <v>7514.46</v>
      </c>
      <c r="CE14" s="61">
        <f>SUM(CF14:CI14)</f>
        <v>7.51</v>
      </c>
      <c r="CF14" s="61"/>
      <c r="CG14" s="61"/>
      <c r="CH14" s="61">
        <v>7.51</v>
      </c>
      <c r="CI14" s="61"/>
      <c r="CJ14" s="61">
        <f>CD14+CE14</f>
        <v>7521.97</v>
      </c>
      <c r="CK14" s="61">
        <f t="shared" si="5"/>
        <v>60.084431663870916</v>
      </c>
      <c r="CL14" s="74" t="s">
        <v>70</v>
      </c>
      <c r="CM14" s="59">
        <f>P14+BQ14+BR14+BS14+BY14+CF14</f>
        <v>499.589</v>
      </c>
      <c r="CN14" s="114" t="s">
        <v>137</v>
      </c>
      <c r="CO14" s="59">
        <v>58.67</v>
      </c>
      <c r="CP14" s="59">
        <v>61.49</v>
      </c>
    </row>
    <row r="15" spans="1:94" s="64" customFormat="1" ht="43.5" customHeight="1">
      <c r="A15" s="65"/>
      <c r="B15" s="59" t="s">
        <v>98</v>
      </c>
      <c r="C15" s="60">
        <v>270600</v>
      </c>
      <c r="D15" s="60">
        <v>115</v>
      </c>
      <c r="E15" s="60"/>
      <c r="F15" s="77">
        <f>C15-D15+E15</f>
        <v>270485</v>
      </c>
      <c r="G15" s="60">
        <v>5742</v>
      </c>
      <c r="H15" s="78">
        <f>G15/F15</f>
        <v>0.02122853392979278</v>
      </c>
      <c r="I15" s="79">
        <f>F15-G15</f>
        <v>264743</v>
      </c>
      <c r="J15" s="79">
        <f>SUM(K15:M15)</f>
        <v>264743</v>
      </c>
      <c r="K15" s="59">
        <v>119033</v>
      </c>
      <c r="L15" s="59">
        <v>52251</v>
      </c>
      <c r="M15" s="59">
        <v>93459</v>
      </c>
      <c r="N15" s="59"/>
      <c r="O15" s="59">
        <v>86.219</v>
      </c>
      <c r="P15" s="59">
        <v>86.219</v>
      </c>
      <c r="Q15" s="59"/>
      <c r="R15" s="59"/>
      <c r="S15" s="72"/>
      <c r="T15" s="59"/>
      <c r="U15" s="59"/>
      <c r="V15" s="59"/>
      <c r="W15" s="59"/>
      <c r="X15" s="72"/>
      <c r="Y15" s="59"/>
      <c r="Z15" s="59"/>
      <c r="AA15" s="62"/>
      <c r="AB15" s="72"/>
      <c r="AC15" s="72"/>
      <c r="AD15" s="59"/>
      <c r="AE15" s="59"/>
      <c r="AF15" s="59"/>
      <c r="AG15" s="59"/>
      <c r="AH15" s="72"/>
      <c r="AI15" s="59"/>
      <c r="AJ15" s="59"/>
      <c r="AK15" s="62"/>
      <c r="AL15" s="72"/>
      <c r="AM15" s="72"/>
      <c r="AN15" s="59"/>
      <c r="AO15" s="59"/>
      <c r="AP15" s="59"/>
      <c r="AQ15" s="59"/>
      <c r="AR15" s="72"/>
      <c r="AS15" s="59"/>
      <c r="AT15" s="59"/>
      <c r="AU15" s="62"/>
      <c r="AV15" s="72"/>
      <c r="AW15" s="72"/>
      <c r="AX15" s="59"/>
      <c r="AY15" s="59"/>
      <c r="AZ15" s="59"/>
      <c r="BA15" s="59"/>
      <c r="BB15" s="72"/>
      <c r="BC15" s="59"/>
      <c r="BD15" s="59"/>
      <c r="BE15" s="62"/>
      <c r="BF15" s="72"/>
      <c r="BG15" s="79">
        <f>BH15</f>
        <v>2855.5529999999994</v>
      </c>
      <c r="BH15" s="79">
        <f>BJ15*BM15</f>
        <v>2855.5529999999994</v>
      </c>
      <c r="BI15" s="41">
        <v>2.5328105927259257</v>
      </c>
      <c r="BJ15" s="79">
        <f>BI15*C15/1000</f>
        <v>685.3785463916354</v>
      </c>
      <c r="BK15" s="41">
        <v>3.886556036645416</v>
      </c>
      <c r="BL15" s="63">
        <v>1.072</v>
      </c>
      <c r="BM15" s="79">
        <f>BK15*BL15</f>
        <v>4.166388071283887</v>
      </c>
      <c r="BN15" s="72">
        <v>2762.993</v>
      </c>
      <c r="BO15" s="72">
        <v>834.424</v>
      </c>
      <c r="BP15" s="52">
        <f>BO15/BN15</f>
        <v>0.30200004125960506</v>
      </c>
      <c r="BQ15" s="72"/>
      <c r="BR15" s="72"/>
      <c r="BS15" s="72">
        <v>471.41</v>
      </c>
      <c r="BT15" s="72">
        <v>118.942</v>
      </c>
      <c r="BU15" s="72"/>
      <c r="BV15" s="72"/>
      <c r="BW15" s="72">
        <v>1779.797</v>
      </c>
      <c r="BX15" s="79">
        <f>SUM(BY15:CA15)</f>
        <v>1256.69</v>
      </c>
      <c r="BY15" s="72">
        <v>0</v>
      </c>
      <c r="BZ15" s="72">
        <v>859.209</v>
      </c>
      <c r="CA15" s="72">
        <v>397.481</v>
      </c>
      <c r="CB15" s="72"/>
      <c r="CC15" s="72"/>
      <c r="CD15" s="72">
        <f>N15+O15+Q15+R15+BG15+BN15+BO15+BQ15+BW15+BX15-CB15+CC15+BS15+BT15+BU15+BV15+BR15</f>
        <v>10166.027999999998</v>
      </c>
      <c r="CE15" s="79">
        <f>SUM(CF15:CI15)</f>
        <v>101.66</v>
      </c>
      <c r="CF15" s="72"/>
      <c r="CG15" s="72"/>
      <c r="CH15" s="72">
        <v>101.66</v>
      </c>
      <c r="CI15" s="72"/>
      <c r="CJ15" s="79">
        <f>CD15+CE15</f>
        <v>10267.687999999998</v>
      </c>
      <c r="CK15" s="79">
        <f t="shared" si="5"/>
        <v>38.7836052322441</v>
      </c>
      <c r="CL15" s="54" t="s">
        <v>70</v>
      </c>
      <c r="CM15" s="59">
        <f>P15+BQ15+BR15+BS15+BY15+CF15</f>
        <v>557.629</v>
      </c>
      <c r="CN15" s="114" t="s">
        <v>138</v>
      </c>
      <c r="CO15" s="59">
        <v>37.84</v>
      </c>
      <c r="CP15" s="59">
        <v>39.72</v>
      </c>
    </row>
    <row r="16" spans="1:94" s="64" customFormat="1" ht="44.25" customHeight="1">
      <c r="A16" s="65"/>
      <c r="B16" s="59" t="s">
        <v>128</v>
      </c>
      <c r="C16" s="60">
        <v>104823.24</v>
      </c>
      <c r="D16" s="60">
        <v>9054.78</v>
      </c>
      <c r="E16" s="60"/>
      <c r="F16" s="70">
        <f>C16-D16+E16</f>
        <v>95768.46</v>
      </c>
      <c r="G16" s="60">
        <v>5886.76</v>
      </c>
      <c r="H16" s="71">
        <f>G16/F16</f>
        <v>0.061468671418544264</v>
      </c>
      <c r="I16" s="72">
        <f>F16-G16</f>
        <v>89881.70000000001</v>
      </c>
      <c r="J16" s="72">
        <f>SUM(K16:M16)</f>
        <v>89881.7</v>
      </c>
      <c r="K16" s="59">
        <v>55149.55</v>
      </c>
      <c r="L16" s="59">
        <v>6514.63</v>
      </c>
      <c r="M16" s="59">
        <f>911.29+27306.23</f>
        <v>28217.52</v>
      </c>
      <c r="N16" s="59"/>
      <c r="O16" s="59">
        <v>150.63</v>
      </c>
      <c r="P16" s="59">
        <v>150.63</v>
      </c>
      <c r="Q16" s="59"/>
      <c r="R16" s="59"/>
      <c r="S16" s="72"/>
      <c r="T16" s="59"/>
      <c r="U16" s="59"/>
      <c r="V16" s="59"/>
      <c r="W16" s="59"/>
      <c r="X16" s="72"/>
      <c r="Y16" s="59"/>
      <c r="Z16" s="59"/>
      <c r="AA16" s="62"/>
      <c r="AB16" s="72"/>
      <c r="AC16" s="72"/>
      <c r="AD16" s="59"/>
      <c r="AE16" s="59"/>
      <c r="AF16" s="59"/>
      <c r="AG16" s="59"/>
      <c r="AH16" s="72"/>
      <c r="AI16" s="59"/>
      <c r="AJ16" s="59"/>
      <c r="AK16" s="62"/>
      <c r="AL16" s="72"/>
      <c r="AM16" s="72"/>
      <c r="AN16" s="59"/>
      <c r="AO16" s="59"/>
      <c r="AP16" s="59"/>
      <c r="AQ16" s="59"/>
      <c r="AR16" s="72"/>
      <c r="AS16" s="59"/>
      <c r="AT16" s="59"/>
      <c r="AU16" s="62"/>
      <c r="AV16" s="72"/>
      <c r="AW16" s="72"/>
      <c r="AX16" s="59"/>
      <c r="AY16" s="59"/>
      <c r="AZ16" s="59"/>
      <c r="BA16" s="59"/>
      <c r="BB16" s="72"/>
      <c r="BC16" s="59"/>
      <c r="BD16" s="59"/>
      <c r="BE16" s="62"/>
      <c r="BF16" s="72"/>
      <c r="BG16" s="72">
        <f>BH16</f>
        <v>599.7834457218555</v>
      </c>
      <c r="BH16" s="72">
        <f>BJ16*BM16</f>
        <v>599.7834457218555</v>
      </c>
      <c r="BI16" s="59">
        <v>1.528362553505748</v>
      </c>
      <c r="BJ16" s="72">
        <f>BI16*C16/1000</f>
        <v>160.20791475314587</v>
      </c>
      <c r="BK16" s="59">
        <v>3.4923335954505683</v>
      </c>
      <c r="BL16" s="62">
        <v>1.072</v>
      </c>
      <c r="BM16" s="72">
        <f>BK16*BL16</f>
        <v>3.7437816143230096</v>
      </c>
      <c r="BN16" s="72">
        <v>536.14</v>
      </c>
      <c r="BO16" s="72">
        <v>161.91</v>
      </c>
      <c r="BP16" s="73">
        <f>BO16/BN16</f>
        <v>0.30199201701048234</v>
      </c>
      <c r="BQ16" s="72">
        <v>36.9</v>
      </c>
      <c r="BR16" s="72"/>
      <c r="BS16" s="72"/>
      <c r="BT16" s="72">
        <v>56.84</v>
      </c>
      <c r="BU16" s="72"/>
      <c r="BV16" s="72"/>
      <c r="BW16" s="72">
        <v>12.21</v>
      </c>
      <c r="BX16" s="72">
        <f>SUM(BY16:CA16)</f>
        <v>403.40000000000003</v>
      </c>
      <c r="BY16" s="72">
        <v>52.89</v>
      </c>
      <c r="BZ16" s="72">
        <v>244.27</v>
      </c>
      <c r="CA16" s="72">
        <v>106.24</v>
      </c>
      <c r="CB16" s="72"/>
      <c r="CC16" s="72"/>
      <c r="CD16" s="72">
        <f>N16+O16+Q16+R16+BG16+BN16+BO16+BQ16+BW16+BX16-CB16+CC16+BS16+BT16+BU16+BV16+BR16</f>
        <v>1957.8134457218557</v>
      </c>
      <c r="CE16" s="72">
        <f>SUM(CF16:CI16)</f>
        <v>19.58</v>
      </c>
      <c r="CF16" s="72"/>
      <c r="CG16" s="72"/>
      <c r="CH16" s="72">
        <v>19.58</v>
      </c>
      <c r="CI16" s="72"/>
      <c r="CJ16" s="72">
        <f>CD16+CE16</f>
        <v>1977.3934457218556</v>
      </c>
      <c r="CK16" s="72">
        <f t="shared" si="5"/>
        <v>21.999956005748174</v>
      </c>
      <c r="CL16" s="74" t="s">
        <v>70</v>
      </c>
      <c r="CM16" s="59">
        <f>P16+BQ16+BR16+BS16+BY16+CF16</f>
        <v>240.42000000000002</v>
      </c>
      <c r="CN16" s="114" t="s">
        <v>139</v>
      </c>
      <c r="CO16" s="75">
        <v>21.46</v>
      </c>
      <c r="CP16" s="75">
        <v>22.54</v>
      </c>
    </row>
    <row r="17" spans="1:94" ht="13.5">
      <c r="A17" s="59"/>
      <c r="B17" s="76" t="s">
        <v>99</v>
      </c>
      <c r="C17" s="67">
        <f>SUM(C18:C19)</f>
        <v>863930.16</v>
      </c>
      <c r="D17" s="67">
        <f>SUM(D18:D19)</f>
        <v>0</v>
      </c>
      <c r="E17" s="67">
        <f>SUM(E18:E19)</f>
        <v>0</v>
      </c>
      <c r="F17" s="67">
        <f>SUM(F18:F19)</f>
        <v>863930.16</v>
      </c>
      <c r="G17" s="67">
        <f>SUM(G18:G19)</f>
        <v>106543.1</v>
      </c>
      <c r="H17" s="56">
        <f>G17/F17*100</f>
        <v>12.332374181727838</v>
      </c>
      <c r="I17" s="67">
        <f>SUM(I18:I19)</f>
        <v>757387.0599999999</v>
      </c>
      <c r="J17" s="67">
        <f>SUM(J18:J19)</f>
        <v>757387.0599999999</v>
      </c>
      <c r="K17" s="67">
        <f>SUM(K18:K19)</f>
        <v>247260.25999999998</v>
      </c>
      <c r="L17" s="67">
        <f>SUM(L18:L19)</f>
        <v>405715.89</v>
      </c>
      <c r="M17" s="67">
        <f>SUM(M18:M19)</f>
        <v>104410.91</v>
      </c>
      <c r="N17" s="67">
        <f>SUM(N18:N19)</f>
        <v>0</v>
      </c>
      <c r="O17" s="67">
        <f>SUM(O18:O19)</f>
        <v>147.528</v>
      </c>
      <c r="P17" s="67">
        <f>SUM(P18:P19)</f>
        <v>141.65699999999998</v>
      </c>
      <c r="Q17" s="67">
        <f>SUM(Q18:Q19)</f>
        <v>0</v>
      </c>
      <c r="R17" s="67">
        <f>SUM(R18:R19)</f>
        <v>0</v>
      </c>
      <c r="S17" s="67">
        <f>SUM(S18:S19)</f>
        <v>0</v>
      </c>
      <c r="T17" s="67">
        <f>SUM(T18:T19)</f>
        <v>0</v>
      </c>
      <c r="U17" s="67">
        <f>SUM(U18:U19)</f>
        <v>0</v>
      </c>
      <c r="V17" s="67">
        <f>SUM(V18:V19)</f>
        <v>0</v>
      </c>
      <c r="W17" s="67">
        <f>SUM(W18:W19)</f>
        <v>0</v>
      </c>
      <c r="X17" s="67">
        <f>SUM(X18:X19)</f>
        <v>0</v>
      </c>
      <c r="Y17" s="67">
        <f>SUM(Y18:Y19)</f>
        <v>0</v>
      </c>
      <c r="Z17" s="67">
        <f>SUM(Z18:Z19)</f>
        <v>0</v>
      </c>
      <c r="AA17" s="67">
        <f>SUM(AA18:AA19)</f>
        <v>0</v>
      </c>
      <c r="AB17" s="67">
        <f>SUM(AB18:AB19)</f>
        <v>0</v>
      </c>
      <c r="AC17" s="67">
        <f>SUM(AC18:AC19)</f>
        <v>0</v>
      </c>
      <c r="AD17" s="67">
        <f>SUM(AD18:AD19)</f>
        <v>0</v>
      </c>
      <c r="AE17" s="67">
        <f>SUM(AE18:AE19)</f>
        <v>0</v>
      </c>
      <c r="AF17" s="67">
        <f>SUM(AF18:AF19)</f>
        <v>0</v>
      </c>
      <c r="AG17" s="67">
        <f>SUM(AG18:AG19)</f>
        <v>0</v>
      </c>
      <c r="AH17" s="67">
        <f>SUM(AH18:AH19)</f>
        <v>0</v>
      </c>
      <c r="AI17" s="67">
        <f>SUM(AI18:AI19)</f>
        <v>0</v>
      </c>
      <c r="AJ17" s="67">
        <f>SUM(AJ18:AJ19)</f>
        <v>0</v>
      </c>
      <c r="AK17" s="67">
        <f>SUM(AK18:AK19)</f>
        <v>0</v>
      </c>
      <c r="AL17" s="67">
        <f>SUM(AL18:AL19)</f>
        <v>0</v>
      </c>
      <c r="AM17" s="67">
        <f>SUM(AM18:AM19)</f>
        <v>0</v>
      </c>
      <c r="AN17" s="67">
        <f>SUM(AN18:AN19)</f>
        <v>0</v>
      </c>
      <c r="AO17" s="67">
        <f>SUM(AO18:AO19)</f>
        <v>0</v>
      </c>
      <c r="AP17" s="67">
        <f>SUM(AP18:AP19)</f>
        <v>0</v>
      </c>
      <c r="AQ17" s="67">
        <f>SUM(AQ18:AQ19)</f>
        <v>0</v>
      </c>
      <c r="AR17" s="67">
        <f>SUM(AR18:AR19)</f>
        <v>0</v>
      </c>
      <c r="AS17" s="67">
        <f>SUM(AS18:AS19)</f>
        <v>0</v>
      </c>
      <c r="AT17" s="67">
        <f>SUM(AT18:AT19)</f>
        <v>0</v>
      </c>
      <c r="AU17" s="67">
        <f>SUM(AU18:AU19)</f>
        <v>0</v>
      </c>
      <c r="AV17" s="67">
        <f>SUM(AV18:AV19)</f>
        <v>0</v>
      </c>
      <c r="AW17" s="67">
        <f>SUM(AW18:AW19)</f>
        <v>0</v>
      </c>
      <c r="AX17" s="67">
        <f>SUM(AX18:AX19)</f>
        <v>0</v>
      </c>
      <c r="AY17" s="67">
        <f>SUM(AY18:AY19)</f>
        <v>0</v>
      </c>
      <c r="AZ17" s="67">
        <f>SUM(AZ18:AZ19)</f>
        <v>0</v>
      </c>
      <c r="BA17" s="67">
        <f>SUM(BA18:BA19)</f>
        <v>0</v>
      </c>
      <c r="BB17" s="67">
        <f>SUM(BB18:BB19)</f>
        <v>0</v>
      </c>
      <c r="BC17" s="67">
        <f>SUM(BC18:BC19)</f>
        <v>0</v>
      </c>
      <c r="BD17" s="67">
        <f>SUM(BD18:BD19)</f>
        <v>0</v>
      </c>
      <c r="BE17" s="67">
        <f>SUM(BE18:BE19)</f>
        <v>0</v>
      </c>
      <c r="BF17" s="67">
        <f>SUM(BF18:BF19)</f>
        <v>0</v>
      </c>
      <c r="BG17" s="67">
        <f>SUM(BG18:BG19)</f>
        <v>10368.331000000002</v>
      </c>
      <c r="BH17" s="67">
        <f>SUM(BH18:BH19)</f>
        <v>10368.331000000002</v>
      </c>
      <c r="BI17" s="67">
        <f>SUM(BI18:BI19)</f>
        <v>4.349702355303168</v>
      </c>
      <c r="BJ17" s="67">
        <f>SUM(BJ18:BJ19)</f>
        <v>2605.606827327555</v>
      </c>
      <c r="BK17" s="67">
        <f>SUM(BK18:BK19)</f>
        <v>7.422842795102215</v>
      </c>
      <c r="BL17" s="67">
        <f>SUM(BL18:BL19)</f>
        <v>2.144</v>
      </c>
      <c r="BM17" s="67">
        <f>SUM(BM18:BM19)</f>
        <v>7.957287476349576</v>
      </c>
      <c r="BN17" s="67">
        <f>SUM(BN18:BN19)</f>
        <v>3785.0150000000003</v>
      </c>
      <c r="BO17" s="67">
        <f>SUM(BO18:BO19)</f>
        <v>1143.074</v>
      </c>
      <c r="BP17" s="56">
        <f>BO17/BN17*100</f>
        <v>30.19998599741348</v>
      </c>
      <c r="BQ17" s="67">
        <f>SUM(BQ18:BQ19)</f>
        <v>0</v>
      </c>
      <c r="BR17" s="67">
        <f>SUM(BR18:BR19)</f>
        <v>5818.692999999999</v>
      </c>
      <c r="BS17" s="67">
        <f>SUM(BS18:BS19)</f>
        <v>0</v>
      </c>
      <c r="BT17" s="67">
        <f>SUM(BT18:BT19)</f>
        <v>2696.929</v>
      </c>
      <c r="BU17" s="67">
        <f>SUM(BU18:BU19)</f>
        <v>0</v>
      </c>
      <c r="BV17" s="67">
        <f>SUM(BV18:BV19)</f>
        <v>0</v>
      </c>
      <c r="BW17" s="67">
        <f>SUM(BW18:BW19)</f>
        <v>932.345</v>
      </c>
      <c r="BX17" s="67">
        <f>SUM(BX18:BX19)</f>
        <v>1439.1349999999998</v>
      </c>
      <c r="BY17" s="67">
        <f>SUM(BY18:BY19)</f>
        <v>0</v>
      </c>
      <c r="BZ17" s="67">
        <f>SUM(BZ18:BZ19)</f>
        <v>910.4169999999999</v>
      </c>
      <c r="CA17" s="67">
        <f>SUM(CA18:CA19)</f>
        <v>528.7179999999998</v>
      </c>
      <c r="CB17" s="67">
        <f>SUM(CB18:CB19)</f>
        <v>0</v>
      </c>
      <c r="CC17" s="67">
        <f>SUM(CC18:CC19)</f>
        <v>0</v>
      </c>
      <c r="CD17" s="67">
        <f>SUM(CD18:CD19)</f>
        <v>26331.050000000003</v>
      </c>
      <c r="CE17" s="67">
        <f>SUM(CE18:CE19)</f>
        <v>0</v>
      </c>
      <c r="CF17" s="67">
        <f>SUM(CF18:CF19)</f>
        <v>0</v>
      </c>
      <c r="CG17" s="67">
        <f>SUM(CG18:CG19)</f>
        <v>0</v>
      </c>
      <c r="CH17" s="67">
        <f>SUM(CH18:CH19)</f>
        <v>0</v>
      </c>
      <c r="CI17" s="67">
        <f>SUM(CI18:CI19)</f>
        <v>0</v>
      </c>
      <c r="CJ17" s="67">
        <f>SUM(CJ18:CJ19)</f>
        <v>26331.050000000003</v>
      </c>
      <c r="CK17" s="56">
        <f t="shared" si="5"/>
        <v>34.765645454782394</v>
      </c>
      <c r="CL17" s="67">
        <f>SUM(CL18:CL19)</f>
        <v>0</v>
      </c>
      <c r="CM17" s="67">
        <f>SUM(CM18:CM19)</f>
        <v>5960.349999999999</v>
      </c>
      <c r="CN17" s="57"/>
      <c r="CO17" s="57"/>
      <c r="CP17" s="57"/>
    </row>
    <row r="18" spans="1:94" ht="13.5">
      <c r="A18" s="41"/>
      <c r="B18" s="80" t="s">
        <v>141</v>
      </c>
      <c r="C18" s="60">
        <v>822012.49</v>
      </c>
      <c r="D18" s="60"/>
      <c r="E18" s="60"/>
      <c r="F18" s="49">
        <f>C18-D18+E18</f>
        <v>822012.49</v>
      </c>
      <c r="G18" s="60">
        <v>99587.67</v>
      </c>
      <c r="H18" s="50">
        <f>G18/F18</f>
        <v>0.12115104236433195</v>
      </c>
      <c r="I18" s="40">
        <f>F18-G18</f>
        <v>722424.82</v>
      </c>
      <c r="J18" s="40">
        <f>SUM(K18:M18)</f>
        <v>722424.82</v>
      </c>
      <c r="K18" s="59">
        <v>241481.52</v>
      </c>
      <c r="L18" s="59">
        <v>379464.69</v>
      </c>
      <c r="M18" s="59">
        <v>101478.61</v>
      </c>
      <c r="N18" s="59"/>
      <c r="O18" s="59">
        <v>72.07</v>
      </c>
      <c r="P18" s="59">
        <v>72.07</v>
      </c>
      <c r="Q18" s="59"/>
      <c r="R18" s="59"/>
      <c r="S18" s="61"/>
      <c r="T18" s="59"/>
      <c r="U18" s="59"/>
      <c r="V18" s="59"/>
      <c r="W18" s="59"/>
      <c r="X18" s="61"/>
      <c r="Y18" s="59"/>
      <c r="Z18" s="59"/>
      <c r="AA18" s="62"/>
      <c r="AB18" s="61"/>
      <c r="AC18" s="61"/>
      <c r="AD18" s="59"/>
      <c r="AE18" s="59"/>
      <c r="AF18" s="59"/>
      <c r="AG18" s="59"/>
      <c r="AH18" s="61"/>
      <c r="AI18" s="59"/>
      <c r="AJ18" s="59"/>
      <c r="AK18" s="62"/>
      <c r="AL18" s="61"/>
      <c r="AM18" s="61"/>
      <c r="AN18" s="59"/>
      <c r="AO18" s="59"/>
      <c r="AP18" s="59"/>
      <c r="AQ18" s="59"/>
      <c r="AR18" s="61"/>
      <c r="AS18" s="59"/>
      <c r="AT18" s="59"/>
      <c r="AU18" s="62"/>
      <c r="AV18" s="61"/>
      <c r="AW18" s="61"/>
      <c r="AX18" s="59"/>
      <c r="AY18" s="59"/>
      <c r="AZ18" s="59"/>
      <c r="BA18" s="59"/>
      <c r="BB18" s="61"/>
      <c r="BC18" s="59"/>
      <c r="BD18" s="59"/>
      <c r="BE18" s="62"/>
      <c r="BF18" s="61"/>
      <c r="BG18" s="40">
        <f>BH18</f>
        <v>10161.009000000002</v>
      </c>
      <c r="BH18" s="40">
        <f>BJ18*BM18</f>
        <v>10161.009000000002</v>
      </c>
      <c r="BI18" s="41">
        <v>3.10638832263972</v>
      </c>
      <c r="BJ18" s="40">
        <f>BI18*C18/1000</f>
        <v>2553.4899999999993</v>
      </c>
      <c r="BK18" s="41">
        <v>3.7119993309712567</v>
      </c>
      <c r="BL18" s="63">
        <v>1.072</v>
      </c>
      <c r="BM18" s="40">
        <f>BK18*BL18</f>
        <v>3.9792632828011874</v>
      </c>
      <c r="BN18" s="61">
        <v>3079.088</v>
      </c>
      <c r="BO18" s="61">
        <v>929.884</v>
      </c>
      <c r="BP18" s="52">
        <f>BO18/BN18</f>
        <v>0.3019998129316213</v>
      </c>
      <c r="BQ18" s="61"/>
      <c r="BR18" s="61">
        <v>5716.396</v>
      </c>
      <c r="BS18" s="61"/>
      <c r="BT18" s="61">
        <v>2640.583</v>
      </c>
      <c r="BU18" s="61"/>
      <c r="BV18" s="61"/>
      <c r="BW18" s="61">
        <v>909.174</v>
      </c>
      <c r="BX18" s="40">
        <f>SUM(BY18:CA18)</f>
        <v>1159.8669999999997</v>
      </c>
      <c r="BY18" s="61"/>
      <c r="BZ18" s="61">
        <v>734.968</v>
      </c>
      <c r="CA18" s="61">
        <v>424.8989999999999</v>
      </c>
      <c r="CB18" s="61"/>
      <c r="CC18" s="61"/>
      <c r="CD18" s="61">
        <f>N18+O18+Q18+R18+BG18+BN18+BO18+BQ18+BW18+BX18-CB18+CC18+BS18+BT18+BU18+BV18+BR18</f>
        <v>24668.071000000004</v>
      </c>
      <c r="CE18" s="40">
        <f>SUM(CF18:CI18)</f>
        <v>0</v>
      </c>
      <c r="CF18" s="61"/>
      <c r="CG18" s="61"/>
      <c r="CH18" s="61"/>
      <c r="CI18" s="61"/>
      <c r="CJ18" s="40">
        <f>CD18+CE18</f>
        <v>24668.071000000004</v>
      </c>
      <c r="CK18" s="40">
        <f t="shared" si="5"/>
        <v>34.146211920016825</v>
      </c>
      <c r="CL18" s="54" t="s">
        <v>69</v>
      </c>
      <c r="CM18" s="59">
        <f>P18+BQ18+BR18</f>
        <v>5788.465999999999</v>
      </c>
      <c r="CN18" s="53" t="s">
        <v>143</v>
      </c>
      <c r="CO18" s="53">
        <v>33.41</v>
      </c>
      <c r="CP18" s="53">
        <v>34.91</v>
      </c>
    </row>
    <row r="19" spans="1:94" ht="13.5">
      <c r="A19" s="41"/>
      <c r="B19" s="80" t="s">
        <v>142</v>
      </c>
      <c r="C19" s="60">
        <v>41917.67</v>
      </c>
      <c r="D19" s="60"/>
      <c r="E19" s="60"/>
      <c r="F19" s="49">
        <f>C19-D19+E19</f>
        <v>41917.67</v>
      </c>
      <c r="G19" s="60">
        <v>6955.43</v>
      </c>
      <c r="H19" s="50">
        <f>G19/F19</f>
        <v>0.16593073994809351</v>
      </c>
      <c r="I19" s="40">
        <f>F19-G19</f>
        <v>34962.24</v>
      </c>
      <c r="J19" s="40">
        <f>SUM(K19:M19)</f>
        <v>34962.240000000005</v>
      </c>
      <c r="K19" s="59">
        <v>5778.74</v>
      </c>
      <c r="L19" s="59">
        <v>26251.2</v>
      </c>
      <c r="M19" s="59">
        <v>2932.3</v>
      </c>
      <c r="N19" s="59"/>
      <c r="O19" s="59">
        <v>75.458</v>
      </c>
      <c r="P19" s="59">
        <v>69.587</v>
      </c>
      <c r="Q19" s="59"/>
      <c r="R19" s="59"/>
      <c r="S19" s="61"/>
      <c r="T19" s="59"/>
      <c r="U19" s="59"/>
      <c r="V19" s="59"/>
      <c r="W19" s="59"/>
      <c r="X19" s="61"/>
      <c r="Y19" s="59"/>
      <c r="Z19" s="59"/>
      <c r="AA19" s="62"/>
      <c r="AB19" s="61"/>
      <c r="AC19" s="61"/>
      <c r="AD19" s="59"/>
      <c r="AE19" s="59"/>
      <c r="AF19" s="59"/>
      <c r="AG19" s="59"/>
      <c r="AH19" s="61"/>
      <c r="AI19" s="59"/>
      <c r="AJ19" s="59"/>
      <c r="AK19" s="62"/>
      <c r="AL19" s="61"/>
      <c r="AM19" s="61"/>
      <c r="AN19" s="59"/>
      <c r="AO19" s="59"/>
      <c r="AP19" s="59"/>
      <c r="AQ19" s="59"/>
      <c r="AR19" s="61"/>
      <c r="AS19" s="59"/>
      <c r="AT19" s="59"/>
      <c r="AU19" s="62"/>
      <c r="AV19" s="61"/>
      <c r="AW19" s="61"/>
      <c r="AX19" s="59"/>
      <c r="AY19" s="59"/>
      <c r="AZ19" s="59"/>
      <c r="BA19" s="59"/>
      <c r="BB19" s="61"/>
      <c r="BC19" s="59"/>
      <c r="BD19" s="59"/>
      <c r="BE19" s="62"/>
      <c r="BF19" s="61"/>
      <c r="BG19" s="40">
        <f>BH19</f>
        <v>207.322</v>
      </c>
      <c r="BH19" s="40">
        <f>BJ19*BM19</f>
        <v>207.322</v>
      </c>
      <c r="BI19" s="41">
        <v>1.2433140326634475</v>
      </c>
      <c r="BJ19" s="40">
        <f>BI19*C19/1000</f>
        <v>52.11682732755561</v>
      </c>
      <c r="BK19" s="41">
        <v>3.7108434641309587</v>
      </c>
      <c r="BL19" s="63">
        <v>1.072</v>
      </c>
      <c r="BM19" s="40">
        <f>BK19*BL19</f>
        <v>3.978024193548388</v>
      </c>
      <c r="BN19" s="61">
        <v>705.927</v>
      </c>
      <c r="BO19" s="61">
        <v>213.19</v>
      </c>
      <c r="BP19" s="52">
        <f>BO19/BN19</f>
        <v>0.30200006516254513</v>
      </c>
      <c r="BQ19" s="61"/>
      <c r="BR19" s="61">
        <v>102.297</v>
      </c>
      <c r="BS19" s="61"/>
      <c r="BT19" s="61">
        <v>56.346</v>
      </c>
      <c r="BU19" s="61"/>
      <c r="BV19" s="61"/>
      <c r="BW19" s="61">
        <v>23.171</v>
      </c>
      <c r="BX19" s="40">
        <f>SUM(BY19:CA19)</f>
        <v>279.268</v>
      </c>
      <c r="BY19" s="61"/>
      <c r="BZ19" s="61">
        <v>175.449</v>
      </c>
      <c r="CA19" s="61">
        <v>103.81899999999996</v>
      </c>
      <c r="CB19" s="61"/>
      <c r="CC19" s="61"/>
      <c r="CD19" s="61">
        <f>N19+O19+Q19+R19+BG19+BN19+BO19+BQ19+BW19+BX19-CB19+CC19+BS19+BT19+BU19+BV19+BR19</f>
        <v>1662.979</v>
      </c>
      <c r="CE19" s="40">
        <f>SUM(CF19:CI19)</f>
        <v>0</v>
      </c>
      <c r="CF19" s="61"/>
      <c r="CG19" s="61"/>
      <c r="CH19" s="61"/>
      <c r="CI19" s="61"/>
      <c r="CJ19" s="40">
        <f>CD19+CE19</f>
        <v>1662.979</v>
      </c>
      <c r="CK19" s="40">
        <f t="shared" si="5"/>
        <v>47.56500155596437</v>
      </c>
      <c r="CL19" s="54" t="s">
        <v>69</v>
      </c>
      <c r="CM19" s="59">
        <f>P19+BQ19+BR19</f>
        <v>171.88400000000001</v>
      </c>
      <c r="CN19" s="53" t="s">
        <v>143</v>
      </c>
      <c r="CO19" s="53">
        <v>46.73</v>
      </c>
      <c r="CP19" s="53">
        <v>48.4</v>
      </c>
    </row>
  </sheetData>
  <sheetProtection/>
  <mergeCells count="37">
    <mergeCell ref="BN3:BN4"/>
    <mergeCell ref="R3:BF3"/>
    <mergeCell ref="A2:CM2"/>
    <mergeCell ref="A3:A4"/>
    <mergeCell ref="B3:B4"/>
    <mergeCell ref="C3:C4"/>
    <mergeCell ref="D3:D4"/>
    <mergeCell ref="BR3:BR4"/>
    <mergeCell ref="BQ3:BQ4"/>
    <mergeCell ref="BW3:BW4"/>
    <mergeCell ref="BV3:BV4"/>
    <mergeCell ref="G3:G4"/>
    <mergeCell ref="J3:M3"/>
    <mergeCell ref="E3:E4"/>
    <mergeCell ref="H3:H4"/>
    <mergeCell ref="I3:I4"/>
    <mergeCell ref="N3:N4"/>
    <mergeCell ref="F3:F4"/>
    <mergeCell ref="CJ3:CJ4"/>
    <mergeCell ref="CM3:CM4"/>
    <mergeCell ref="BT3:BT4"/>
    <mergeCell ref="CE3:CI3"/>
    <mergeCell ref="CK3:CK4"/>
    <mergeCell ref="CD3:CD4"/>
    <mergeCell ref="CB3:CB4"/>
    <mergeCell ref="BX3:CA3"/>
    <mergeCell ref="CC3:CC4"/>
    <mergeCell ref="BS3:BS4"/>
    <mergeCell ref="BU3:BU4"/>
    <mergeCell ref="O3:P3"/>
    <mergeCell ref="BG3:BM3"/>
    <mergeCell ref="BO3:BO4"/>
    <mergeCell ref="Q3:Q4"/>
    <mergeCell ref="BP3:BP4"/>
    <mergeCell ref="CL3:CL4"/>
    <mergeCell ref="CO3:CP3"/>
    <mergeCell ref="CN3:C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CH16"/>
  <sheetViews>
    <sheetView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7" sqref="C17"/>
    </sheetView>
  </sheetViews>
  <sheetFormatPr defaultColWidth="7.00390625" defaultRowHeight="15" outlineLevelCol="1"/>
  <cols>
    <col min="1" max="1" width="7.00390625" style="81" bestFit="1" customWidth="1"/>
    <col min="2" max="2" width="28.57421875" style="81" customWidth="1"/>
    <col min="3" max="3" width="16.421875" style="85" customWidth="1" outlineLevel="1"/>
    <col min="4" max="4" width="14.7109375" style="39" customWidth="1" outlineLevel="1"/>
    <col min="5" max="5" width="13.140625" style="39" customWidth="1" outlineLevel="1"/>
    <col min="6" max="6" width="12.421875" style="39" customWidth="1" outlineLevel="1"/>
    <col min="7" max="7" width="11.421875" style="39" customWidth="1"/>
    <col min="8" max="8" width="11.57421875" style="39" customWidth="1"/>
    <col min="9" max="9" width="11.28125" style="39" customWidth="1"/>
    <col min="10" max="10" width="10.8515625" style="85" customWidth="1"/>
    <col min="11" max="11" width="11.7109375" style="85" customWidth="1"/>
    <col min="12" max="12" width="11.57421875" style="85" customWidth="1" outlineLevel="1"/>
    <col min="13" max="13" width="11.57421875" style="39" customWidth="1" outlineLevel="1"/>
    <col min="14" max="14" width="11.57421875" style="85" customWidth="1" outlineLevel="1"/>
    <col min="15" max="15" width="11.57421875" style="39" customWidth="1" outlineLevel="1"/>
    <col min="16" max="17" width="11.57421875" style="85" customWidth="1" outlineLevel="1"/>
    <col min="18" max="18" width="11.57421875" style="39" customWidth="1" outlineLevel="1"/>
    <col min="19" max="19" width="11.57421875" style="86" customWidth="1" outlineLevel="1"/>
    <col min="20" max="20" width="11.57421875" style="85" customWidth="1" outlineLevel="1"/>
    <col min="21" max="21" width="11.57421875" style="85" customWidth="1"/>
    <col min="22" max="23" width="11.57421875" style="39" customWidth="1" outlineLevel="1"/>
    <col min="24" max="24" width="11.57421875" style="85" customWidth="1" outlineLevel="1"/>
    <col min="25" max="25" width="11.57421875" style="39" customWidth="1" outlineLevel="1"/>
    <col min="26" max="27" width="11.57421875" style="85" customWidth="1" outlineLevel="1"/>
    <col min="28" max="28" width="11.57421875" style="39" customWidth="1" outlineLevel="1"/>
    <col min="29" max="29" width="11.57421875" style="86" customWidth="1" outlineLevel="1"/>
    <col min="30" max="30" width="11.57421875" style="85" customWidth="1" outlineLevel="1"/>
    <col min="31" max="31" width="11.57421875" style="85" customWidth="1"/>
    <col min="32" max="40" width="11.57421875" style="85" customWidth="1" outlineLevel="1"/>
    <col min="41" max="41" width="11.57421875" style="85" customWidth="1" collapsed="1"/>
    <col min="42" max="51" width="11.57421875" style="39" customWidth="1" outlineLevel="1"/>
    <col min="52" max="53" width="11.57421875" style="85" customWidth="1"/>
    <col min="54" max="54" width="11.57421875" style="39" customWidth="1" outlineLevel="1"/>
    <col min="55" max="55" width="11.57421875" style="85" customWidth="1" outlineLevel="1"/>
    <col min="56" max="56" width="11.57421875" style="39" customWidth="1" outlineLevel="1"/>
    <col min="57" max="57" width="11.57421875" style="86" customWidth="1" outlineLevel="1"/>
    <col min="58" max="58" width="11.57421875" style="85" customWidth="1" outlineLevel="1"/>
    <col min="59" max="60" width="11.57421875" style="39" customWidth="1"/>
    <col min="61" max="61" width="9.421875" style="87" customWidth="1"/>
    <col min="62" max="66" width="12.8515625" style="39" customWidth="1"/>
    <col min="67" max="67" width="11.57421875" style="39" customWidth="1"/>
    <col min="68" max="68" width="11.57421875" style="85" customWidth="1"/>
    <col min="69" max="71" width="11.57421875" style="39" customWidth="1" outlineLevel="1"/>
    <col min="72" max="73" width="11.57421875" style="39" customWidth="1"/>
    <col min="74" max="75" width="11.57421875" style="85" customWidth="1"/>
    <col min="76" max="79" width="11.57421875" style="39" customWidth="1" outlineLevel="1"/>
    <col min="80" max="80" width="14.140625" style="85" customWidth="1"/>
    <col min="81" max="81" width="10.57421875" style="85" customWidth="1"/>
    <col min="82" max="82" width="16.421875" style="39" customWidth="1"/>
    <col min="83" max="83" width="32.8515625" style="39" customWidth="1"/>
    <col min="84" max="84" width="24.00390625" style="39" customWidth="1"/>
    <col min="85" max="85" width="21.140625" style="64" customWidth="1"/>
    <col min="86" max="86" width="21.00390625" style="64" customWidth="1"/>
    <col min="87" max="255" width="32.7109375" style="64" customWidth="1"/>
    <col min="256" max="16384" width="7.00390625" style="64" customWidth="1"/>
  </cols>
  <sheetData>
    <row r="2" spans="1:83" ht="15.75" customHeight="1">
      <c r="A2" s="153" t="s">
        <v>122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</row>
    <row r="3" spans="1:86" ht="15" customHeight="1">
      <c r="A3" s="140"/>
      <c r="B3" s="140" t="s">
        <v>1</v>
      </c>
      <c r="C3" s="140" t="s">
        <v>102</v>
      </c>
      <c r="D3" s="140"/>
      <c r="E3" s="140"/>
      <c r="F3" s="140"/>
      <c r="G3" s="140" t="s">
        <v>10</v>
      </c>
      <c r="H3" s="141" t="s">
        <v>11</v>
      </c>
      <c r="I3" s="142"/>
      <c r="J3" s="140" t="s">
        <v>13</v>
      </c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3" t="s">
        <v>84</v>
      </c>
      <c r="AZ3" s="140" t="s">
        <v>14</v>
      </c>
      <c r="BA3" s="140"/>
      <c r="BB3" s="140"/>
      <c r="BC3" s="140"/>
      <c r="BD3" s="140"/>
      <c r="BE3" s="140"/>
      <c r="BF3" s="140"/>
      <c r="BG3" s="140" t="s">
        <v>15</v>
      </c>
      <c r="BH3" s="140" t="s">
        <v>16</v>
      </c>
      <c r="BI3" s="149" t="s">
        <v>7</v>
      </c>
      <c r="BJ3" s="143" t="s">
        <v>17</v>
      </c>
      <c r="BK3" s="143" t="s">
        <v>116</v>
      </c>
      <c r="BL3" s="143" t="s">
        <v>85</v>
      </c>
      <c r="BM3" s="117" t="s">
        <v>103</v>
      </c>
      <c r="BN3" s="143" t="s">
        <v>104</v>
      </c>
      <c r="BO3" s="140" t="s">
        <v>18</v>
      </c>
      <c r="BP3" s="140" t="s">
        <v>19</v>
      </c>
      <c r="BQ3" s="140"/>
      <c r="BR3" s="140"/>
      <c r="BS3" s="140"/>
      <c r="BT3" s="140" t="s">
        <v>20</v>
      </c>
      <c r="BU3" s="140" t="s">
        <v>21</v>
      </c>
      <c r="BV3" s="147" t="s">
        <v>22</v>
      </c>
      <c r="BW3" s="147" t="s">
        <v>23</v>
      </c>
      <c r="BX3" s="147"/>
      <c r="BY3" s="147"/>
      <c r="BZ3" s="147"/>
      <c r="CA3" s="147"/>
      <c r="CB3" s="147" t="s">
        <v>0</v>
      </c>
      <c r="CC3" s="147" t="s">
        <v>105</v>
      </c>
      <c r="CD3" s="141" t="s">
        <v>25</v>
      </c>
      <c r="CE3" s="140" t="s">
        <v>26</v>
      </c>
      <c r="CF3" s="140" t="s">
        <v>91</v>
      </c>
      <c r="CG3" s="140" t="s">
        <v>124</v>
      </c>
      <c r="CH3" s="140"/>
    </row>
    <row r="4" spans="1:86" ht="69">
      <c r="A4" s="140"/>
      <c r="B4" s="140"/>
      <c r="C4" s="40" t="s">
        <v>27</v>
      </c>
      <c r="D4" s="41" t="s">
        <v>28</v>
      </c>
      <c r="E4" s="41" t="s">
        <v>29</v>
      </c>
      <c r="F4" s="41" t="s">
        <v>30</v>
      </c>
      <c r="G4" s="140"/>
      <c r="H4" s="89" t="s">
        <v>27</v>
      </c>
      <c r="I4" s="53" t="s">
        <v>106</v>
      </c>
      <c r="J4" s="40" t="s">
        <v>32</v>
      </c>
      <c r="K4" s="43" t="s">
        <v>33</v>
      </c>
      <c r="L4" s="44" t="s">
        <v>34</v>
      </c>
      <c r="M4" s="44" t="s">
        <v>48</v>
      </c>
      <c r="N4" s="45" t="s">
        <v>36</v>
      </c>
      <c r="O4" s="44" t="s">
        <v>37</v>
      </c>
      <c r="P4" s="45" t="s">
        <v>38</v>
      </c>
      <c r="Q4" s="45" t="s">
        <v>39</v>
      </c>
      <c r="R4" s="44" t="s">
        <v>40</v>
      </c>
      <c r="S4" s="46" t="s">
        <v>41</v>
      </c>
      <c r="T4" s="45" t="s">
        <v>42</v>
      </c>
      <c r="U4" s="43" t="s">
        <v>43</v>
      </c>
      <c r="V4" s="44" t="s">
        <v>44</v>
      </c>
      <c r="W4" s="44" t="s">
        <v>48</v>
      </c>
      <c r="X4" s="45" t="s">
        <v>36</v>
      </c>
      <c r="Y4" s="44" t="s">
        <v>37</v>
      </c>
      <c r="Z4" s="45" t="s">
        <v>38</v>
      </c>
      <c r="AA4" s="45" t="s">
        <v>39</v>
      </c>
      <c r="AB4" s="44" t="s">
        <v>40</v>
      </c>
      <c r="AC4" s="46" t="s">
        <v>41</v>
      </c>
      <c r="AD4" s="45" t="s">
        <v>42</v>
      </c>
      <c r="AE4" s="43" t="s">
        <v>46</v>
      </c>
      <c r="AF4" s="44" t="s">
        <v>47</v>
      </c>
      <c r="AG4" s="44" t="s">
        <v>48</v>
      </c>
      <c r="AH4" s="44" t="s">
        <v>36</v>
      </c>
      <c r="AI4" s="44" t="s">
        <v>37</v>
      </c>
      <c r="AJ4" s="44" t="s">
        <v>38</v>
      </c>
      <c r="AK4" s="44" t="s">
        <v>39</v>
      </c>
      <c r="AL4" s="44" t="s">
        <v>40</v>
      </c>
      <c r="AM4" s="44" t="s">
        <v>41</v>
      </c>
      <c r="AN4" s="44" t="s">
        <v>42</v>
      </c>
      <c r="AO4" s="43" t="s">
        <v>49</v>
      </c>
      <c r="AP4" s="44" t="s">
        <v>50</v>
      </c>
      <c r="AQ4" s="44" t="s">
        <v>48</v>
      </c>
      <c r="AR4" s="44" t="s">
        <v>36</v>
      </c>
      <c r="AS4" s="44" t="s">
        <v>37</v>
      </c>
      <c r="AT4" s="44" t="s">
        <v>38</v>
      </c>
      <c r="AU4" s="44" t="s">
        <v>39</v>
      </c>
      <c r="AV4" s="44" t="s">
        <v>40</v>
      </c>
      <c r="AW4" s="44" t="s">
        <v>41</v>
      </c>
      <c r="AX4" s="44" t="s">
        <v>42</v>
      </c>
      <c r="AY4" s="144"/>
      <c r="AZ4" s="45" t="s">
        <v>51</v>
      </c>
      <c r="BA4" s="45" t="s">
        <v>52</v>
      </c>
      <c r="BB4" s="44" t="s">
        <v>53</v>
      </c>
      <c r="BC4" s="45" t="s">
        <v>54</v>
      </c>
      <c r="BD4" s="44" t="s">
        <v>55</v>
      </c>
      <c r="BE4" s="46" t="s">
        <v>56</v>
      </c>
      <c r="BF4" s="45" t="s">
        <v>57</v>
      </c>
      <c r="BG4" s="140"/>
      <c r="BH4" s="140"/>
      <c r="BI4" s="149"/>
      <c r="BJ4" s="144"/>
      <c r="BK4" s="144"/>
      <c r="BL4" s="144"/>
      <c r="BM4" s="118"/>
      <c r="BN4" s="144"/>
      <c r="BO4" s="140"/>
      <c r="BP4" s="45" t="s">
        <v>61</v>
      </c>
      <c r="BQ4" s="44" t="s">
        <v>62</v>
      </c>
      <c r="BR4" s="44" t="s">
        <v>78</v>
      </c>
      <c r="BS4" s="44" t="s">
        <v>63</v>
      </c>
      <c r="BT4" s="140"/>
      <c r="BU4" s="140"/>
      <c r="BV4" s="147"/>
      <c r="BW4" s="45" t="s">
        <v>64</v>
      </c>
      <c r="BX4" s="41" t="s">
        <v>65</v>
      </c>
      <c r="BY4" s="41" t="s">
        <v>66</v>
      </c>
      <c r="BZ4" s="41" t="s">
        <v>67</v>
      </c>
      <c r="CA4" s="41" t="s">
        <v>68</v>
      </c>
      <c r="CB4" s="147"/>
      <c r="CC4" s="147"/>
      <c r="CD4" s="141"/>
      <c r="CE4" s="140"/>
      <c r="CF4" s="140"/>
      <c r="CG4" s="41" t="s">
        <v>94</v>
      </c>
      <c r="CH4" s="41" t="s">
        <v>100</v>
      </c>
    </row>
    <row r="5" spans="1:86" ht="14.25" hidden="1">
      <c r="A5" s="41"/>
      <c r="B5" s="41"/>
      <c r="C5" s="40"/>
      <c r="D5" s="41"/>
      <c r="E5" s="41"/>
      <c r="F5" s="41"/>
      <c r="G5" s="41"/>
      <c r="H5" s="89"/>
      <c r="I5" s="53"/>
      <c r="J5" s="40"/>
      <c r="K5" s="43"/>
      <c r="L5" s="44"/>
      <c r="M5" s="44"/>
      <c r="N5" s="45"/>
      <c r="O5" s="44"/>
      <c r="P5" s="45"/>
      <c r="Q5" s="45"/>
      <c r="R5" s="44"/>
      <c r="S5" s="46"/>
      <c r="T5" s="45"/>
      <c r="U5" s="43"/>
      <c r="V5" s="44"/>
      <c r="W5" s="44"/>
      <c r="X5" s="45"/>
      <c r="Y5" s="44"/>
      <c r="Z5" s="45"/>
      <c r="AA5" s="45"/>
      <c r="AB5" s="44"/>
      <c r="AC5" s="46"/>
      <c r="AD5" s="45"/>
      <c r="AE5" s="43"/>
      <c r="AF5" s="44"/>
      <c r="AG5" s="44"/>
      <c r="AH5" s="44"/>
      <c r="AI5" s="44"/>
      <c r="AJ5" s="44"/>
      <c r="AK5" s="44"/>
      <c r="AL5" s="44"/>
      <c r="AM5" s="44"/>
      <c r="AN5" s="44"/>
      <c r="AO5" s="43"/>
      <c r="AP5" s="44"/>
      <c r="AQ5" s="44"/>
      <c r="AR5" s="44"/>
      <c r="AS5" s="44"/>
      <c r="AT5" s="44"/>
      <c r="AU5" s="44"/>
      <c r="AV5" s="44"/>
      <c r="AW5" s="44"/>
      <c r="AX5" s="44"/>
      <c r="AY5" s="53"/>
      <c r="AZ5" s="45"/>
      <c r="BA5" s="45"/>
      <c r="BB5" s="44"/>
      <c r="BC5" s="45"/>
      <c r="BD5" s="44"/>
      <c r="BE5" s="46"/>
      <c r="BF5" s="45"/>
      <c r="BG5" s="41"/>
      <c r="BH5" s="41"/>
      <c r="BI5" s="52"/>
      <c r="BJ5" s="53"/>
      <c r="BK5" s="53"/>
      <c r="BL5" s="53"/>
      <c r="BM5" s="88"/>
      <c r="BN5" s="53"/>
      <c r="BO5" s="41"/>
      <c r="BP5" s="45"/>
      <c r="BQ5" s="44"/>
      <c r="BR5" s="44"/>
      <c r="BS5" s="44"/>
      <c r="BT5" s="41"/>
      <c r="BU5" s="41"/>
      <c r="BV5" s="40"/>
      <c r="BW5" s="45"/>
      <c r="BX5" s="41"/>
      <c r="BY5" s="41"/>
      <c r="BZ5" s="41"/>
      <c r="CA5" s="41"/>
      <c r="CB5" s="40"/>
      <c r="CC5" s="40"/>
      <c r="CD5" s="54"/>
      <c r="CE5" s="54"/>
      <c r="CF5" s="41"/>
      <c r="CG5" s="59"/>
      <c r="CH5" s="59"/>
    </row>
    <row r="6" spans="1:86" ht="13.5" hidden="1">
      <c r="A6" s="90">
        <v>1</v>
      </c>
      <c r="B6" s="56" t="s">
        <v>71</v>
      </c>
      <c r="C6" s="56">
        <f>C7</f>
        <v>0</v>
      </c>
      <c r="D6" s="56">
        <f aca="true" t="shared" si="0" ref="D6:BC6">D7</f>
        <v>0</v>
      </c>
      <c r="E6" s="56">
        <f t="shared" si="0"/>
        <v>0</v>
      </c>
      <c r="F6" s="56">
        <f t="shared" si="0"/>
        <v>0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  <c r="K6" s="56">
        <f t="shared" si="0"/>
        <v>0</v>
      </c>
      <c r="L6" s="56">
        <f t="shared" si="0"/>
        <v>0</v>
      </c>
      <c r="M6" s="56">
        <f t="shared" si="0"/>
        <v>0</v>
      </c>
      <c r="N6" s="56">
        <f t="shared" si="0"/>
        <v>0</v>
      </c>
      <c r="O6" s="56">
        <f t="shared" si="0"/>
        <v>0</v>
      </c>
      <c r="P6" s="56">
        <f t="shared" si="0"/>
        <v>0</v>
      </c>
      <c r="Q6" s="56">
        <f t="shared" si="0"/>
        <v>0</v>
      </c>
      <c r="R6" s="56">
        <f t="shared" si="0"/>
        <v>0</v>
      </c>
      <c r="S6" s="56">
        <f t="shared" si="0"/>
        <v>0</v>
      </c>
      <c r="T6" s="56">
        <f t="shared" si="0"/>
        <v>0</v>
      </c>
      <c r="U6" s="56">
        <f t="shared" si="0"/>
        <v>0</v>
      </c>
      <c r="V6" s="56">
        <f t="shared" si="0"/>
        <v>0</v>
      </c>
      <c r="W6" s="56">
        <f t="shared" si="0"/>
        <v>0</v>
      </c>
      <c r="X6" s="56">
        <f t="shared" si="0"/>
        <v>0</v>
      </c>
      <c r="Y6" s="56">
        <f t="shared" si="0"/>
        <v>0</v>
      </c>
      <c r="Z6" s="56">
        <f t="shared" si="0"/>
        <v>0</v>
      </c>
      <c r="AA6" s="56">
        <f t="shared" si="0"/>
        <v>0</v>
      </c>
      <c r="AB6" s="56">
        <f t="shared" si="0"/>
        <v>0</v>
      </c>
      <c r="AC6" s="56">
        <f t="shared" si="0"/>
        <v>0</v>
      </c>
      <c r="AD6" s="56">
        <f t="shared" si="0"/>
        <v>0</v>
      </c>
      <c r="AE6" s="56">
        <f t="shared" si="0"/>
        <v>0</v>
      </c>
      <c r="AF6" s="56">
        <f t="shared" si="0"/>
        <v>0</v>
      </c>
      <c r="AG6" s="56">
        <f t="shared" si="0"/>
        <v>0</v>
      </c>
      <c r="AH6" s="56">
        <f t="shared" si="0"/>
        <v>0</v>
      </c>
      <c r="AI6" s="56">
        <f t="shared" si="0"/>
        <v>0</v>
      </c>
      <c r="AJ6" s="56">
        <f t="shared" si="0"/>
        <v>0</v>
      </c>
      <c r="AK6" s="56">
        <f t="shared" si="0"/>
        <v>0</v>
      </c>
      <c r="AL6" s="56">
        <f t="shared" si="0"/>
        <v>0</v>
      </c>
      <c r="AM6" s="56">
        <f t="shared" si="0"/>
        <v>0</v>
      </c>
      <c r="AN6" s="56">
        <f t="shared" si="0"/>
        <v>0</v>
      </c>
      <c r="AO6" s="56">
        <f t="shared" si="0"/>
        <v>0</v>
      </c>
      <c r="AP6" s="56">
        <f t="shared" si="0"/>
        <v>0</v>
      </c>
      <c r="AQ6" s="56">
        <f t="shared" si="0"/>
        <v>0</v>
      </c>
      <c r="AR6" s="56">
        <f t="shared" si="0"/>
        <v>0</v>
      </c>
      <c r="AS6" s="56">
        <f t="shared" si="0"/>
        <v>0</v>
      </c>
      <c r="AT6" s="56">
        <f t="shared" si="0"/>
        <v>0</v>
      </c>
      <c r="AU6" s="56">
        <f t="shared" si="0"/>
        <v>0</v>
      </c>
      <c r="AV6" s="56">
        <f t="shared" si="0"/>
        <v>0</v>
      </c>
      <c r="AW6" s="56">
        <f t="shared" si="0"/>
        <v>0</v>
      </c>
      <c r="AX6" s="56">
        <f t="shared" si="0"/>
        <v>0</v>
      </c>
      <c r="AY6" s="56">
        <f t="shared" si="0"/>
        <v>0</v>
      </c>
      <c r="AZ6" s="56">
        <f t="shared" si="0"/>
        <v>0</v>
      </c>
      <c r="BA6" s="56">
        <f t="shared" si="0"/>
        <v>0</v>
      </c>
      <c r="BB6" s="56" t="e">
        <f>BC6/C6*1000</f>
        <v>#DIV/0!</v>
      </c>
      <c r="BC6" s="56">
        <f t="shared" si="0"/>
        <v>0</v>
      </c>
      <c r="BD6" s="56"/>
      <c r="BE6" s="56"/>
      <c r="BF6" s="56"/>
      <c r="BG6" s="56">
        <f>BG7</f>
        <v>0</v>
      </c>
      <c r="BH6" s="56">
        <f>BH7</f>
        <v>0</v>
      </c>
      <c r="BI6" s="56" t="e">
        <f>BH6/BG6*100</f>
        <v>#DIV/0!</v>
      </c>
      <c r="BJ6" s="56">
        <f aca="true" t="shared" si="1" ref="BJ6:CB6">BJ7</f>
        <v>0</v>
      </c>
      <c r="BK6" s="56">
        <f t="shared" si="1"/>
        <v>0</v>
      </c>
      <c r="BL6" s="56">
        <f t="shared" si="1"/>
        <v>0</v>
      </c>
      <c r="BM6" s="56">
        <f t="shared" si="1"/>
        <v>0</v>
      </c>
      <c r="BN6" s="56">
        <f t="shared" si="1"/>
        <v>0</v>
      </c>
      <c r="BO6" s="56">
        <f t="shared" si="1"/>
        <v>0</v>
      </c>
      <c r="BP6" s="56">
        <f t="shared" si="1"/>
        <v>0</v>
      </c>
      <c r="BQ6" s="56">
        <f t="shared" si="1"/>
        <v>0</v>
      </c>
      <c r="BR6" s="56">
        <f t="shared" si="1"/>
        <v>0</v>
      </c>
      <c r="BS6" s="56">
        <f t="shared" si="1"/>
        <v>0</v>
      </c>
      <c r="BT6" s="56">
        <f t="shared" si="1"/>
        <v>0</v>
      </c>
      <c r="BU6" s="56">
        <f t="shared" si="1"/>
        <v>0</v>
      </c>
      <c r="BV6" s="56">
        <f t="shared" si="1"/>
        <v>0</v>
      </c>
      <c r="BW6" s="56">
        <f t="shared" si="1"/>
        <v>0</v>
      </c>
      <c r="BX6" s="56">
        <f t="shared" si="1"/>
        <v>0</v>
      </c>
      <c r="BY6" s="56">
        <f t="shared" si="1"/>
        <v>0</v>
      </c>
      <c r="BZ6" s="56">
        <f t="shared" si="1"/>
        <v>0</v>
      </c>
      <c r="CA6" s="56">
        <f t="shared" si="1"/>
        <v>0</v>
      </c>
      <c r="CB6" s="56">
        <f t="shared" si="1"/>
        <v>0</v>
      </c>
      <c r="CC6" s="56" t="e">
        <f aca="true" t="shared" si="2" ref="CC6:CC14">CB6/C6*1000</f>
        <v>#DIV/0!</v>
      </c>
      <c r="CD6" s="56"/>
      <c r="CE6" s="91">
        <f>CE7</f>
        <v>0</v>
      </c>
      <c r="CF6" s="57"/>
      <c r="CG6" s="57"/>
      <c r="CH6" s="57"/>
    </row>
    <row r="7" spans="1:86" ht="13.5" hidden="1">
      <c r="A7" s="55"/>
      <c r="B7" s="59" t="s">
        <v>95</v>
      </c>
      <c r="C7" s="59">
        <f>SUM(D7:F7)</f>
        <v>0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>
        <f>BA7</f>
        <v>0</v>
      </c>
      <c r="BA7" s="59">
        <f>BC7*BF7</f>
        <v>0</v>
      </c>
      <c r="BB7" s="59"/>
      <c r="BC7" s="59">
        <f>BB7*C7/1000</f>
        <v>0</v>
      </c>
      <c r="BD7" s="59"/>
      <c r="BE7" s="59"/>
      <c r="BF7" s="59">
        <f>BD7*BE7</f>
        <v>0</v>
      </c>
      <c r="BG7" s="59"/>
      <c r="BH7" s="59"/>
      <c r="BI7" s="59" t="e">
        <f>BH7/BG7*100</f>
        <v>#DIV/0!</v>
      </c>
      <c r="BJ7" s="59"/>
      <c r="BK7" s="59"/>
      <c r="BL7" s="59"/>
      <c r="BM7" s="59"/>
      <c r="BN7" s="59"/>
      <c r="BO7" s="59"/>
      <c r="BP7" s="59">
        <f>SUM(BQ7:BS7)</f>
        <v>0</v>
      </c>
      <c r="BQ7" s="59"/>
      <c r="BR7" s="59"/>
      <c r="BS7" s="59"/>
      <c r="BT7" s="59"/>
      <c r="BU7" s="59"/>
      <c r="BV7" s="59">
        <f>G7+H7+J7+AZ7+BG7+BH7+BJ7+BO7+BP7-BT7+BU7+BK7+BL7+BM7+BN7+AY7</f>
        <v>0</v>
      </c>
      <c r="BW7" s="59">
        <f>SUM(BX7:CA7)</f>
        <v>0</v>
      </c>
      <c r="BX7" s="59"/>
      <c r="BY7" s="59"/>
      <c r="BZ7" s="59"/>
      <c r="CA7" s="59"/>
      <c r="CB7" s="59">
        <f>BV7+BW7</f>
        <v>0</v>
      </c>
      <c r="CC7" s="59" t="e">
        <f t="shared" si="2"/>
        <v>#DIV/0!</v>
      </c>
      <c r="CD7" s="59" t="s">
        <v>69</v>
      </c>
      <c r="CE7" s="74"/>
      <c r="CF7" s="59"/>
      <c r="CG7" s="59"/>
      <c r="CH7" s="59"/>
    </row>
    <row r="8" spans="1:86" ht="13.5" hidden="1">
      <c r="A8" s="90">
        <v>2</v>
      </c>
      <c r="B8" s="56" t="s">
        <v>72</v>
      </c>
      <c r="C8" s="56">
        <f aca="true" t="shared" si="3" ref="C8:AH8">SUM(C9:C9)</f>
        <v>109324.64</v>
      </c>
      <c r="D8" s="56">
        <f t="shared" si="3"/>
        <v>86322.24</v>
      </c>
      <c r="E8" s="56">
        <f t="shared" si="3"/>
        <v>20920.5</v>
      </c>
      <c r="F8" s="56">
        <f t="shared" si="3"/>
        <v>2081.9</v>
      </c>
      <c r="G8" s="56">
        <f t="shared" si="3"/>
        <v>0</v>
      </c>
      <c r="H8" s="56">
        <f t="shared" si="3"/>
        <v>0</v>
      </c>
      <c r="I8" s="56">
        <f t="shared" si="3"/>
        <v>0</v>
      </c>
      <c r="J8" s="56">
        <f t="shared" si="3"/>
        <v>0</v>
      </c>
      <c r="K8" s="56">
        <f t="shared" si="3"/>
        <v>0</v>
      </c>
      <c r="L8" s="56">
        <f t="shared" si="3"/>
        <v>0</v>
      </c>
      <c r="M8" s="56">
        <f t="shared" si="3"/>
        <v>0</v>
      </c>
      <c r="N8" s="56">
        <f t="shared" si="3"/>
        <v>0</v>
      </c>
      <c r="O8" s="56">
        <f t="shared" si="3"/>
        <v>0</v>
      </c>
      <c r="P8" s="56">
        <f t="shared" si="3"/>
        <v>0</v>
      </c>
      <c r="Q8" s="56">
        <f t="shared" si="3"/>
        <v>0</v>
      </c>
      <c r="R8" s="56">
        <f t="shared" si="3"/>
        <v>0</v>
      </c>
      <c r="S8" s="56">
        <f t="shared" si="3"/>
        <v>0</v>
      </c>
      <c r="T8" s="56">
        <f t="shared" si="3"/>
        <v>0</v>
      </c>
      <c r="U8" s="56">
        <f t="shared" si="3"/>
        <v>0</v>
      </c>
      <c r="V8" s="56">
        <f t="shared" si="3"/>
        <v>0</v>
      </c>
      <c r="W8" s="56">
        <f t="shared" si="3"/>
        <v>0</v>
      </c>
      <c r="X8" s="56">
        <f t="shared" si="3"/>
        <v>0</v>
      </c>
      <c r="Y8" s="56">
        <f t="shared" si="3"/>
        <v>0</v>
      </c>
      <c r="Z8" s="56">
        <f t="shared" si="3"/>
        <v>0</v>
      </c>
      <c r="AA8" s="56">
        <f t="shared" si="3"/>
        <v>0</v>
      </c>
      <c r="AB8" s="56">
        <f t="shared" si="3"/>
        <v>0</v>
      </c>
      <c r="AC8" s="56">
        <f t="shared" si="3"/>
        <v>0</v>
      </c>
      <c r="AD8" s="56">
        <f t="shared" si="3"/>
        <v>0</v>
      </c>
      <c r="AE8" s="56">
        <f t="shared" si="3"/>
        <v>0</v>
      </c>
      <c r="AF8" s="56">
        <f t="shared" si="3"/>
        <v>0</v>
      </c>
      <c r="AG8" s="56">
        <f t="shared" si="3"/>
        <v>0</v>
      </c>
      <c r="AH8" s="56">
        <f t="shared" si="3"/>
        <v>0</v>
      </c>
      <c r="AI8" s="56">
        <f aca="true" t="shared" si="4" ref="AI8:BA8">SUM(AI9:AI9)</f>
        <v>0</v>
      </c>
      <c r="AJ8" s="56">
        <f t="shared" si="4"/>
        <v>0</v>
      </c>
      <c r="AK8" s="56">
        <f t="shared" si="4"/>
        <v>0</v>
      </c>
      <c r="AL8" s="56">
        <f t="shared" si="4"/>
        <v>0</v>
      </c>
      <c r="AM8" s="56">
        <f t="shared" si="4"/>
        <v>0</v>
      </c>
      <c r="AN8" s="56">
        <f t="shared" si="4"/>
        <v>0</v>
      </c>
      <c r="AO8" s="56">
        <f t="shared" si="4"/>
        <v>0</v>
      </c>
      <c r="AP8" s="56">
        <f t="shared" si="4"/>
        <v>0</v>
      </c>
      <c r="AQ8" s="56">
        <f t="shared" si="4"/>
        <v>0</v>
      </c>
      <c r="AR8" s="56">
        <f t="shared" si="4"/>
        <v>0</v>
      </c>
      <c r="AS8" s="56">
        <f t="shared" si="4"/>
        <v>0</v>
      </c>
      <c r="AT8" s="56">
        <f t="shared" si="4"/>
        <v>0</v>
      </c>
      <c r="AU8" s="56">
        <f t="shared" si="4"/>
        <v>0</v>
      </c>
      <c r="AV8" s="56">
        <f t="shared" si="4"/>
        <v>0</v>
      </c>
      <c r="AW8" s="56">
        <f t="shared" si="4"/>
        <v>0</v>
      </c>
      <c r="AX8" s="56">
        <f t="shared" si="4"/>
        <v>0</v>
      </c>
      <c r="AY8" s="56">
        <f t="shared" si="4"/>
        <v>0</v>
      </c>
      <c r="AZ8" s="56">
        <f t="shared" si="4"/>
        <v>457.1459967680921</v>
      </c>
      <c r="BA8" s="56">
        <f t="shared" si="4"/>
        <v>457.1459967680921</v>
      </c>
      <c r="BB8" s="56">
        <f>BC8/C8*1000</f>
        <v>1.1453</v>
      </c>
      <c r="BC8" s="56">
        <f>SUM(BC9:BC9)</f>
        <v>125.209510192</v>
      </c>
      <c r="BD8" s="56"/>
      <c r="BE8" s="56"/>
      <c r="BF8" s="56">
        <f>AZ8/BC8</f>
        <v>3.651048519134775</v>
      </c>
      <c r="BG8" s="56">
        <f>SUM(BG9:BG9)</f>
        <v>3173.581</v>
      </c>
      <c r="BH8" s="56">
        <f>SUM(BH9:BH9)</f>
        <v>958.422</v>
      </c>
      <c r="BI8" s="56">
        <f>BH8/BG8*100</f>
        <v>30.200016952458437</v>
      </c>
      <c r="BJ8" s="56">
        <f aca="true" t="shared" si="5" ref="BJ8:CB8">SUM(BJ9:BJ9)</f>
        <v>0</v>
      </c>
      <c r="BK8" s="56">
        <f t="shared" si="5"/>
        <v>281.89000000000004</v>
      </c>
      <c r="BL8" s="56">
        <f t="shared" si="5"/>
        <v>0</v>
      </c>
      <c r="BM8" s="56">
        <f t="shared" si="5"/>
        <v>0</v>
      </c>
      <c r="BN8" s="56">
        <f t="shared" si="5"/>
        <v>0</v>
      </c>
      <c r="BO8" s="56">
        <f t="shared" si="5"/>
        <v>1550.0578100000002</v>
      </c>
      <c r="BP8" s="56">
        <f t="shared" si="5"/>
        <v>1695.993</v>
      </c>
      <c r="BQ8" s="56">
        <f t="shared" si="5"/>
        <v>0</v>
      </c>
      <c r="BR8" s="56">
        <f t="shared" si="5"/>
        <v>1300.7592542000002</v>
      </c>
      <c r="BS8" s="56">
        <f t="shared" si="5"/>
        <v>395.23374579999984</v>
      </c>
      <c r="BT8" s="56">
        <f t="shared" si="5"/>
        <v>0</v>
      </c>
      <c r="BU8" s="56">
        <f t="shared" si="5"/>
        <v>0</v>
      </c>
      <c r="BV8" s="56">
        <f t="shared" si="5"/>
        <v>8117.089806768093</v>
      </c>
      <c r="BW8" s="56">
        <f t="shared" si="5"/>
        <v>81.17</v>
      </c>
      <c r="BX8" s="56">
        <f t="shared" si="5"/>
        <v>0</v>
      </c>
      <c r="BY8" s="56">
        <f t="shared" si="5"/>
        <v>0</v>
      </c>
      <c r="BZ8" s="56">
        <f t="shared" si="5"/>
        <v>81.17</v>
      </c>
      <c r="CA8" s="56">
        <f t="shared" si="5"/>
        <v>0</v>
      </c>
      <c r="CB8" s="56">
        <f t="shared" si="5"/>
        <v>8198.259806768092</v>
      </c>
      <c r="CC8" s="56">
        <f t="shared" si="2"/>
        <v>74.99004622167602</v>
      </c>
      <c r="CD8" s="56"/>
      <c r="CE8" s="91">
        <f>SUM(CE9:CE9)</f>
        <v>0</v>
      </c>
      <c r="CF8" s="57"/>
      <c r="CG8" s="57"/>
      <c r="CH8" s="57"/>
    </row>
    <row r="9" spans="1:86" ht="13.5" hidden="1">
      <c r="A9" s="55"/>
      <c r="B9" s="59" t="s">
        <v>97</v>
      </c>
      <c r="C9" s="59">
        <f>SUM(D9:F9)</f>
        <v>109324.64</v>
      </c>
      <c r="D9" s="59">
        <v>86322.24</v>
      </c>
      <c r="E9" s="59">
        <v>20920.5</v>
      </c>
      <c r="F9" s="59">
        <v>2081.9</v>
      </c>
      <c r="G9" s="59"/>
      <c r="H9" s="59">
        <v>0</v>
      </c>
      <c r="I9" s="59">
        <v>0</v>
      </c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>
        <v>0</v>
      </c>
      <c r="AZ9" s="59">
        <f>BA9</f>
        <v>457.1459967680921</v>
      </c>
      <c r="BA9" s="59">
        <f>BC9*BF9</f>
        <v>457.1459967680921</v>
      </c>
      <c r="BB9" s="59">
        <v>1.1453</v>
      </c>
      <c r="BC9" s="59">
        <f>BB9*C9/1000</f>
        <v>125.209510192</v>
      </c>
      <c r="BD9" s="59">
        <v>3.405828842476469</v>
      </c>
      <c r="BE9" s="62">
        <v>1.072</v>
      </c>
      <c r="BF9" s="59">
        <f>BD9*BE9</f>
        <v>3.651048519134775</v>
      </c>
      <c r="BG9" s="59">
        <v>3173.581</v>
      </c>
      <c r="BH9" s="59">
        <v>958.422</v>
      </c>
      <c r="BI9" s="59">
        <f>BH9/BG9*100</f>
        <v>30.200016952458437</v>
      </c>
      <c r="BJ9" s="59">
        <v>0</v>
      </c>
      <c r="BK9" s="59">
        <v>281.89000000000004</v>
      </c>
      <c r="BL9" s="59">
        <v>0</v>
      </c>
      <c r="BM9" s="59">
        <v>0</v>
      </c>
      <c r="BN9" s="59"/>
      <c r="BO9" s="59">
        <v>1550.0578100000002</v>
      </c>
      <c r="BP9" s="59">
        <f>SUM(BQ9:BS9)</f>
        <v>1695.993</v>
      </c>
      <c r="BQ9" s="59"/>
      <c r="BR9" s="59">
        <f>2861.327*45.46%</f>
        <v>1300.7592542000002</v>
      </c>
      <c r="BS9" s="59">
        <v>395.23374579999984</v>
      </c>
      <c r="BT9" s="59"/>
      <c r="BU9" s="59"/>
      <c r="BV9" s="59">
        <f>G9+H9+J9+AZ9+BG9+BH9+BJ9+BO9+BP9-BT9+BU9+BK9+BL9+BM9+BN9+AY9</f>
        <v>8117.089806768093</v>
      </c>
      <c r="BW9" s="59">
        <f>SUM(BX9:CA9)</f>
        <v>81.17</v>
      </c>
      <c r="BX9" s="59"/>
      <c r="BY9" s="59"/>
      <c r="BZ9" s="59">
        <v>81.17</v>
      </c>
      <c r="CA9" s="59"/>
      <c r="CB9" s="59">
        <f>BV9+BW9</f>
        <v>8198.259806768092</v>
      </c>
      <c r="CC9" s="59">
        <f t="shared" si="2"/>
        <v>74.99004622167602</v>
      </c>
      <c r="CD9" s="59" t="s">
        <v>70</v>
      </c>
      <c r="CE9" s="74"/>
      <c r="CF9" s="59" t="s">
        <v>114</v>
      </c>
      <c r="CG9" s="59">
        <v>74.99</v>
      </c>
      <c r="CH9" s="59">
        <v>74.99</v>
      </c>
    </row>
    <row r="10" spans="1:86" s="92" customFormat="1" ht="13.5">
      <c r="A10" s="90">
        <v>12</v>
      </c>
      <c r="B10" s="56" t="s">
        <v>74</v>
      </c>
      <c r="C10" s="56">
        <f aca="true" t="shared" si="6" ref="C10:AH10">SUM(C11:C13)</f>
        <v>290106.21</v>
      </c>
      <c r="D10" s="56">
        <f t="shared" si="6"/>
        <v>177259.56</v>
      </c>
      <c r="E10" s="56">
        <f t="shared" si="6"/>
        <v>89323.49</v>
      </c>
      <c r="F10" s="56">
        <f t="shared" si="6"/>
        <v>23523.16</v>
      </c>
      <c r="G10" s="56">
        <f t="shared" si="6"/>
        <v>0</v>
      </c>
      <c r="H10" s="56">
        <f t="shared" si="6"/>
        <v>476.03700000000003</v>
      </c>
      <c r="I10" s="56">
        <f t="shared" si="6"/>
        <v>476.03700000000003</v>
      </c>
      <c r="J10" s="56">
        <f t="shared" si="6"/>
        <v>0</v>
      </c>
      <c r="K10" s="56">
        <f t="shared" si="6"/>
        <v>0</v>
      </c>
      <c r="L10" s="56">
        <f t="shared" si="6"/>
        <v>0</v>
      </c>
      <c r="M10" s="56">
        <f t="shared" si="6"/>
        <v>0</v>
      </c>
      <c r="N10" s="56">
        <f t="shared" si="6"/>
        <v>0</v>
      </c>
      <c r="O10" s="56">
        <f t="shared" si="6"/>
        <v>0</v>
      </c>
      <c r="P10" s="56">
        <f t="shared" si="6"/>
        <v>0</v>
      </c>
      <c r="Q10" s="56">
        <f t="shared" si="6"/>
        <v>0</v>
      </c>
      <c r="R10" s="56">
        <f t="shared" si="6"/>
        <v>0</v>
      </c>
      <c r="S10" s="56">
        <f t="shared" si="6"/>
        <v>0</v>
      </c>
      <c r="T10" s="56">
        <f t="shared" si="6"/>
        <v>0</v>
      </c>
      <c r="U10" s="56">
        <f t="shared" si="6"/>
        <v>0</v>
      </c>
      <c r="V10" s="56">
        <f t="shared" si="6"/>
        <v>0</v>
      </c>
      <c r="W10" s="56">
        <f t="shared" si="6"/>
        <v>0</v>
      </c>
      <c r="X10" s="56">
        <f t="shared" si="6"/>
        <v>0</v>
      </c>
      <c r="Y10" s="56">
        <f t="shared" si="6"/>
        <v>0</v>
      </c>
      <c r="Z10" s="56">
        <f t="shared" si="6"/>
        <v>0</v>
      </c>
      <c r="AA10" s="56">
        <f t="shared" si="6"/>
        <v>0</v>
      </c>
      <c r="AB10" s="56">
        <f t="shared" si="6"/>
        <v>0</v>
      </c>
      <c r="AC10" s="56">
        <f t="shared" si="6"/>
        <v>0</v>
      </c>
      <c r="AD10" s="56">
        <f t="shared" si="6"/>
        <v>0</v>
      </c>
      <c r="AE10" s="56">
        <f t="shared" si="6"/>
        <v>0</v>
      </c>
      <c r="AF10" s="56">
        <f t="shared" si="6"/>
        <v>0</v>
      </c>
      <c r="AG10" s="56">
        <f t="shared" si="6"/>
        <v>0</v>
      </c>
      <c r="AH10" s="56">
        <f t="shared" si="6"/>
        <v>0</v>
      </c>
      <c r="AI10" s="56">
        <f aca="true" t="shared" si="7" ref="AI10:BA10">SUM(AI11:AI13)</f>
        <v>0</v>
      </c>
      <c r="AJ10" s="56">
        <f t="shared" si="7"/>
        <v>0</v>
      </c>
      <c r="AK10" s="56">
        <f t="shared" si="7"/>
        <v>0</v>
      </c>
      <c r="AL10" s="56">
        <f t="shared" si="7"/>
        <v>0</v>
      </c>
      <c r="AM10" s="56">
        <f t="shared" si="7"/>
        <v>0</v>
      </c>
      <c r="AN10" s="56">
        <f t="shared" si="7"/>
        <v>0</v>
      </c>
      <c r="AO10" s="56">
        <f t="shared" si="7"/>
        <v>0</v>
      </c>
      <c r="AP10" s="56">
        <f t="shared" si="7"/>
        <v>0</v>
      </c>
      <c r="AQ10" s="56">
        <f t="shared" si="7"/>
        <v>0</v>
      </c>
      <c r="AR10" s="56">
        <f t="shared" si="7"/>
        <v>0</v>
      </c>
      <c r="AS10" s="56">
        <f t="shared" si="7"/>
        <v>0</v>
      </c>
      <c r="AT10" s="56">
        <f t="shared" si="7"/>
        <v>0</v>
      </c>
      <c r="AU10" s="56">
        <f t="shared" si="7"/>
        <v>0</v>
      </c>
      <c r="AV10" s="56">
        <f t="shared" si="7"/>
        <v>0</v>
      </c>
      <c r="AW10" s="56">
        <f t="shared" si="7"/>
        <v>0</v>
      </c>
      <c r="AX10" s="56">
        <f t="shared" si="7"/>
        <v>0</v>
      </c>
      <c r="AY10" s="56">
        <f t="shared" si="7"/>
        <v>0</v>
      </c>
      <c r="AZ10" s="56">
        <f t="shared" si="7"/>
        <v>325.3715009754796</v>
      </c>
      <c r="BA10" s="56">
        <f t="shared" si="7"/>
        <v>325.3715009754796</v>
      </c>
      <c r="BB10" s="56">
        <f>BC10/C10*1000</f>
        <v>0.2995794217995448</v>
      </c>
      <c r="BC10" s="56">
        <f>SUM(BC11:BC13)</f>
        <v>86.90985065225732</v>
      </c>
      <c r="BD10" s="56"/>
      <c r="BE10" s="56"/>
      <c r="BF10" s="56">
        <f>AZ10/BC10</f>
        <v>3.7437816143230096</v>
      </c>
      <c r="BG10" s="56">
        <f>SUM(BG11:BG13)</f>
        <v>3168.866</v>
      </c>
      <c r="BH10" s="56">
        <f>SUM(BH11:BH13)</f>
        <v>956.9929999999999</v>
      </c>
      <c r="BI10" s="56">
        <f>BH10/BG10*100</f>
        <v>30.19985698353922</v>
      </c>
      <c r="BJ10" s="56">
        <f aca="true" t="shared" si="8" ref="BJ10:CB10">SUM(BJ11:BJ13)</f>
        <v>103.042</v>
      </c>
      <c r="BK10" s="56">
        <f t="shared" si="8"/>
        <v>471.41</v>
      </c>
      <c r="BL10" s="56">
        <f t="shared" si="8"/>
        <v>0</v>
      </c>
      <c r="BM10" s="56">
        <f t="shared" si="8"/>
        <v>149.668</v>
      </c>
      <c r="BN10" s="56">
        <f t="shared" si="8"/>
        <v>0</v>
      </c>
      <c r="BO10" s="56">
        <f t="shared" si="8"/>
        <v>989.7660000000001</v>
      </c>
      <c r="BP10" s="56">
        <f t="shared" si="8"/>
        <v>2449.598</v>
      </c>
      <c r="BQ10" s="56">
        <f t="shared" si="8"/>
        <v>218.644</v>
      </c>
      <c r="BR10" s="56">
        <f t="shared" si="8"/>
        <v>1542.7089999999998</v>
      </c>
      <c r="BS10" s="56">
        <f t="shared" si="8"/>
        <v>688.2449999999999</v>
      </c>
      <c r="BT10" s="56">
        <f t="shared" si="8"/>
        <v>0</v>
      </c>
      <c r="BU10" s="56">
        <f t="shared" si="8"/>
        <v>0</v>
      </c>
      <c r="BV10" s="56">
        <f t="shared" si="8"/>
        <v>9090.751500975479</v>
      </c>
      <c r="BW10" s="56">
        <f t="shared" si="8"/>
        <v>82.118</v>
      </c>
      <c r="BX10" s="56">
        <f t="shared" si="8"/>
        <v>0</v>
      </c>
      <c r="BY10" s="56">
        <f t="shared" si="8"/>
        <v>0</v>
      </c>
      <c r="BZ10" s="56">
        <f t="shared" si="8"/>
        <v>82.118</v>
      </c>
      <c r="CA10" s="56">
        <f t="shared" si="8"/>
        <v>0</v>
      </c>
      <c r="CB10" s="56">
        <f t="shared" si="8"/>
        <v>9172.869500975477</v>
      </c>
      <c r="CC10" s="56">
        <f t="shared" si="2"/>
        <v>31.61900429837568</v>
      </c>
      <c r="CD10" s="56"/>
      <c r="CE10" s="91">
        <f>SUM(CE11:CE13)</f>
        <v>1269.133</v>
      </c>
      <c r="CF10" s="57"/>
      <c r="CG10" s="57"/>
      <c r="CH10" s="57"/>
    </row>
    <row r="11" spans="1:86" ht="27">
      <c r="A11" s="55"/>
      <c r="B11" s="59" t="s">
        <v>107</v>
      </c>
      <c r="C11" s="59">
        <f>SUM(D11:F11)</f>
        <v>43707.23</v>
      </c>
      <c r="D11" s="59">
        <v>41844</v>
      </c>
      <c r="E11" s="59">
        <v>139.07</v>
      </c>
      <c r="F11" s="59">
        <v>1724.16</v>
      </c>
      <c r="G11" s="59"/>
      <c r="H11" s="59">
        <v>182.049</v>
      </c>
      <c r="I11" s="59">
        <v>182.049</v>
      </c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>
        <f>BA11</f>
        <v>0</v>
      </c>
      <c r="BA11" s="59">
        <f>BC11*BF11</f>
        <v>0</v>
      </c>
      <c r="BB11" s="59"/>
      <c r="BC11" s="59">
        <f>BB11*C11/1000</f>
        <v>0</v>
      </c>
      <c r="BD11" s="59"/>
      <c r="BE11" s="59"/>
      <c r="BF11" s="59">
        <f>BD11*BE11</f>
        <v>0</v>
      </c>
      <c r="BG11" s="59">
        <v>446.37</v>
      </c>
      <c r="BH11" s="59">
        <v>134.804</v>
      </c>
      <c r="BI11" s="73">
        <f>BH11/BG11</f>
        <v>0.3020005824764209</v>
      </c>
      <c r="BJ11" s="59"/>
      <c r="BK11" s="59"/>
      <c r="BL11" s="59"/>
      <c r="BM11" s="59"/>
      <c r="BN11" s="59"/>
      <c r="BO11" s="59">
        <v>38.28</v>
      </c>
      <c r="BP11" s="59">
        <f>SUM(BQ11:BS11)</f>
        <v>175.66</v>
      </c>
      <c r="BQ11" s="59">
        <v>85.366</v>
      </c>
      <c r="BR11" s="59">
        <v>67.93</v>
      </c>
      <c r="BS11" s="59">
        <v>22.364</v>
      </c>
      <c r="BT11" s="59"/>
      <c r="BU11" s="59"/>
      <c r="BV11" s="59">
        <f>G11+H11+J11+AZ11+BG11+BH11+BJ11+BO11+BP11-BT11+BU11+BK11+BL11+BM11+BN11+AY11</f>
        <v>977.1629999999999</v>
      </c>
      <c r="BW11" s="59">
        <f>SUM(BX11:CA11)</f>
        <v>0.98</v>
      </c>
      <c r="BX11" s="59"/>
      <c r="BY11" s="59"/>
      <c r="BZ11" s="59">
        <v>0.98</v>
      </c>
      <c r="CA11" s="59"/>
      <c r="CB11" s="59">
        <f>BV11+BW11</f>
        <v>978.1429999999999</v>
      </c>
      <c r="CC11" s="59">
        <f t="shared" si="2"/>
        <v>22.37943241884695</v>
      </c>
      <c r="CD11" s="59" t="s">
        <v>70</v>
      </c>
      <c r="CE11" s="74">
        <f>I11+AY11+BJ11+BK11+BL11+BQ11</f>
        <v>267.415</v>
      </c>
      <c r="CF11" s="59" t="s">
        <v>137</v>
      </c>
      <c r="CG11" s="59">
        <v>21.86</v>
      </c>
      <c r="CH11" s="59">
        <v>22.9</v>
      </c>
    </row>
    <row r="12" spans="1:86" ht="13.5">
      <c r="A12" s="55"/>
      <c r="B12" s="59" t="s">
        <v>98</v>
      </c>
      <c r="C12" s="59">
        <f>SUM(D12:F12)</f>
        <v>197820</v>
      </c>
      <c r="D12" s="59">
        <v>95761</v>
      </c>
      <c r="E12" s="59">
        <v>80821.2</v>
      </c>
      <c r="F12" s="59">
        <v>21237.8</v>
      </c>
      <c r="G12" s="59"/>
      <c r="H12" s="59">
        <v>274.838</v>
      </c>
      <c r="I12" s="59">
        <v>274.838</v>
      </c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>
        <f>BA12</f>
        <v>0</v>
      </c>
      <c r="BA12" s="59">
        <f>BC12*BF12</f>
        <v>0</v>
      </c>
      <c r="BB12" s="59"/>
      <c r="BC12" s="59">
        <f>BB12*C12/1000</f>
        <v>0</v>
      </c>
      <c r="BD12" s="59"/>
      <c r="BE12" s="59"/>
      <c r="BF12" s="59">
        <f>BD12*BE12</f>
        <v>0</v>
      </c>
      <c r="BG12" s="59">
        <v>1027.446</v>
      </c>
      <c r="BH12" s="59">
        <v>310.289</v>
      </c>
      <c r="BI12" s="73">
        <f>BH12/BG12</f>
        <v>0.30200029977244547</v>
      </c>
      <c r="BJ12" s="59"/>
      <c r="BK12" s="59">
        <v>471.41</v>
      </c>
      <c r="BL12" s="59"/>
      <c r="BM12" s="59">
        <v>100</v>
      </c>
      <c r="BN12" s="59"/>
      <c r="BO12" s="59">
        <v>368.156</v>
      </c>
      <c r="BP12" s="59">
        <f>SUM(BQ12:BS12)</f>
        <v>1256.69</v>
      </c>
      <c r="BQ12" s="59">
        <v>0</v>
      </c>
      <c r="BR12" s="59">
        <v>859.209</v>
      </c>
      <c r="BS12" s="59">
        <v>397.481</v>
      </c>
      <c r="BT12" s="59"/>
      <c r="BU12" s="59"/>
      <c r="BV12" s="59">
        <f>G12+H12+J12+AZ12+BG12+BH12+BJ12+BO12+BP12-BT12+BU12+BK12+BL12+BM12+BN12+AY12</f>
        <v>3808.8289999999997</v>
      </c>
      <c r="BW12" s="59">
        <f>SUM(BX12:CA12)</f>
        <v>38.088</v>
      </c>
      <c r="BX12" s="59"/>
      <c r="BY12" s="59"/>
      <c r="BZ12" s="59">
        <v>38.088</v>
      </c>
      <c r="CA12" s="59"/>
      <c r="CB12" s="59">
        <f>BV12+BW12</f>
        <v>3846.917</v>
      </c>
      <c r="CC12" s="59">
        <f t="shared" si="2"/>
        <v>19.446552421393186</v>
      </c>
      <c r="CD12" s="59" t="s">
        <v>70</v>
      </c>
      <c r="CE12" s="74">
        <f>I12+AY12+BJ12+BK12+BL12+BQ12</f>
        <v>746.248</v>
      </c>
      <c r="CF12" s="59" t="s">
        <v>140</v>
      </c>
      <c r="CG12" s="59">
        <v>19.27</v>
      </c>
      <c r="CH12" s="59">
        <v>19.63</v>
      </c>
    </row>
    <row r="13" spans="1:86" ht="27">
      <c r="A13" s="55"/>
      <c r="B13" s="59" t="s">
        <v>129</v>
      </c>
      <c r="C13" s="59">
        <f>SUM(D13:F13)</f>
        <v>48578.979999999996</v>
      </c>
      <c r="D13" s="59">
        <v>39654.56</v>
      </c>
      <c r="E13" s="59">
        <v>8363.22</v>
      </c>
      <c r="F13" s="59">
        <v>561.2</v>
      </c>
      <c r="G13" s="59"/>
      <c r="H13" s="59">
        <v>19.15</v>
      </c>
      <c r="I13" s="59">
        <v>19.15</v>
      </c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>
        <f>BA13</f>
        <v>325.3715009754796</v>
      </c>
      <c r="BA13" s="59">
        <f>BC13*BF13</f>
        <v>325.3715009754796</v>
      </c>
      <c r="BB13" s="59">
        <v>1.7890423111448064</v>
      </c>
      <c r="BC13" s="59">
        <f>BB13*C13/1000</f>
        <v>86.90985065225732</v>
      </c>
      <c r="BD13" s="59">
        <v>3.4923335954505683</v>
      </c>
      <c r="BE13" s="59">
        <v>1.072</v>
      </c>
      <c r="BF13" s="59">
        <f>BD13*BE13</f>
        <v>3.7437816143230096</v>
      </c>
      <c r="BG13" s="59">
        <v>1695.05</v>
      </c>
      <c r="BH13" s="59">
        <v>511.9</v>
      </c>
      <c r="BI13" s="73">
        <f>BH13/BG13</f>
        <v>0.3019969912391965</v>
      </c>
      <c r="BJ13" s="59">
        <v>103.042</v>
      </c>
      <c r="BK13" s="59"/>
      <c r="BL13" s="59"/>
      <c r="BM13" s="59">
        <v>49.668</v>
      </c>
      <c r="BN13" s="59"/>
      <c r="BO13" s="59">
        <v>583.33</v>
      </c>
      <c r="BP13" s="59">
        <f>SUM(BQ13:BS13)</f>
        <v>1017.248</v>
      </c>
      <c r="BQ13" s="59">
        <v>133.278</v>
      </c>
      <c r="BR13" s="59">
        <v>615.57</v>
      </c>
      <c r="BS13" s="59">
        <v>268.4</v>
      </c>
      <c r="BT13" s="59"/>
      <c r="BU13" s="59"/>
      <c r="BV13" s="59">
        <f>G13+H13+J13+AZ13+BG13+BH13+BJ13+BO13+BP13-BT13+BU13+BK13+BL13+BM13+BN13+AY13</f>
        <v>4304.759500975479</v>
      </c>
      <c r="BW13" s="59">
        <f>SUM(BX13:CA13)</f>
        <v>43.05</v>
      </c>
      <c r="BX13" s="59"/>
      <c r="BY13" s="59"/>
      <c r="BZ13" s="59">
        <v>43.05</v>
      </c>
      <c r="CA13" s="59"/>
      <c r="CB13" s="59">
        <f>BV13+BW13</f>
        <v>4347.809500975479</v>
      </c>
      <c r="CC13" s="59">
        <f t="shared" si="2"/>
        <v>89.4998104319086</v>
      </c>
      <c r="CD13" s="59" t="s">
        <v>70</v>
      </c>
      <c r="CE13" s="74">
        <f>I13+AY13+BJ13+BK13+BL13+BQ13</f>
        <v>255.47</v>
      </c>
      <c r="CF13" s="59" t="s">
        <v>139</v>
      </c>
      <c r="CG13" s="75">
        <v>87.28</v>
      </c>
      <c r="CH13" s="75">
        <v>91.72</v>
      </c>
    </row>
    <row r="14" spans="1:86" ht="13.5">
      <c r="A14" s="57"/>
      <c r="B14" s="76" t="s">
        <v>99</v>
      </c>
      <c r="C14" s="56">
        <f>SUM(C15:C16)</f>
        <v>845072.53</v>
      </c>
      <c r="D14" s="56">
        <f>SUM(D15:D16)</f>
        <v>246956.83</v>
      </c>
      <c r="E14" s="56">
        <f>SUM(E15:E16)</f>
        <v>493565.67000000004</v>
      </c>
      <c r="F14" s="56">
        <f>SUM(F15:F16)</f>
        <v>104550.03</v>
      </c>
      <c r="G14" s="56"/>
      <c r="H14" s="56">
        <f>SUM(H15:H16)</f>
        <v>152.009</v>
      </c>
      <c r="I14" s="56">
        <f>SUM(I15:I16)</f>
        <v>123.199</v>
      </c>
      <c r="J14" s="56">
        <f>SUM(J15:J16)</f>
        <v>0</v>
      </c>
      <c r="K14" s="56">
        <f>SUM(K15:K16)</f>
        <v>0</v>
      </c>
      <c r="L14" s="56">
        <f>SUM(L15:L16)</f>
        <v>0</v>
      </c>
      <c r="M14" s="56">
        <f>SUM(M15:M16)</f>
        <v>0</v>
      </c>
      <c r="N14" s="56">
        <f>SUM(N15:N16)</f>
        <v>0</v>
      </c>
      <c r="O14" s="56">
        <f>SUM(O15:O16)</f>
        <v>0</v>
      </c>
      <c r="P14" s="56">
        <f>SUM(P15:P16)</f>
        <v>0</v>
      </c>
      <c r="Q14" s="56">
        <f>SUM(Q15:Q16)</f>
        <v>0</v>
      </c>
      <c r="R14" s="56">
        <f>SUM(R15:R16)</f>
        <v>0</v>
      </c>
      <c r="S14" s="56">
        <f>SUM(S15:S16)</f>
        <v>0</v>
      </c>
      <c r="T14" s="56">
        <f>SUM(T15:T16)</f>
        <v>0</v>
      </c>
      <c r="U14" s="56">
        <f>SUM(U15:U16)</f>
        <v>0</v>
      </c>
      <c r="V14" s="56">
        <f>SUM(V15:V16)</f>
        <v>0</v>
      </c>
      <c r="W14" s="56">
        <f>SUM(W15:W16)</f>
        <v>0</v>
      </c>
      <c r="X14" s="56">
        <f>SUM(X15:X16)</f>
        <v>0</v>
      </c>
      <c r="Y14" s="56">
        <f>SUM(Y15:Y16)</f>
        <v>0</v>
      </c>
      <c r="Z14" s="56">
        <f>SUM(Z15:Z16)</f>
        <v>0</v>
      </c>
      <c r="AA14" s="56">
        <f>SUM(AA15:AA16)</f>
        <v>0</v>
      </c>
      <c r="AB14" s="56">
        <f>SUM(AB15:AB16)</f>
        <v>0</v>
      </c>
      <c r="AC14" s="56">
        <f>SUM(AC15:AC16)</f>
        <v>0</v>
      </c>
      <c r="AD14" s="56">
        <f>SUM(AD15:AD16)</f>
        <v>0</v>
      </c>
      <c r="AE14" s="56">
        <f>SUM(AE15:AE16)</f>
        <v>0</v>
      </c>
      <c r="AF14" s="56">
        <f>SUM(AF15:AF16)</f>
        <v>0</v>
      </c>
      <c r="AG14" s="56">
        <f>SUM(AG15:AG16)</f>
        <v>0</v>
      </c>
      <c r="AH14" s="56">
        <f>SUM(AH15:AH16)</f>
        <v>0</v>
      </c>
      <c r="AI14" s="56">
        <f>SUM(AI15:AI16)</f>
        <v>0</v>
      </c>
      <c r="AJ14" s="56">
        <f>SUM(AJ15:AJ16)</f>
        <v>0</v>
      </c>
      <c r="AK14" s="56">
        <f>SUM(AK15:AK16)</f>
        <v>0</v>
      </c>
      <c r="AL14" s="56">
        <f>SUM(AL15:AL16)</f>
        <v>0</v>
      </c>
      <c r="AM14" s="56">
        <f>SUM(AM15:AM16)</f>
        <v>0</v>
      </c>
      <c r="AN14" s="56">
        <f>SUM(AN15:AN16)</f>
        <v>0</v>
      </c>
      <c r="AO14" s="56">
        <f>SUM(AO15:AO16)</f>
        <v>0</v>
      </c>
      <c r="AP14" s="56">
        <f>SUM(AP15:AP16)</f>
        <v>0</v>
      </c>
      <c r="AQ14" s="56">
        <f>SUM(AQ15:AQ16)</f>
        <v>0</v>
      </c>
      <c r="AR14" s="56">
        <f>SUM(AR15:AR16)</f>
        <v>0</v>
      </c>
      <c r="AS14" s="56">
        <f>SUM(AS15:AS16)</f>
        <v>0</v>
      </c>
      <c r="AT14" s="56">
        <f>SUM(AT15:AT16)</f>
        <v>0</v>
      </c>
      <c r="AU14" s="56">
        <f>SUM(AU15:AU16)</f>
        <v>0</v>
      </c>
      <c r="AV14" s="56">
        <f>SUM(AV15:AV16)</f>
        <v>0</v>
      </c>
      <c r="AW14" s="56">
        <f>SUM(AW15:AW16)</f>
        <v>0</v>
      </c>
      <c r="AX14" s="56">
        <f>SUM(AX15:AX16)</f>
        <v>0</v>
      </c>
      <c r="AY14" s="56">
        <f>SUM(AY15:AY16)</f>
        <v>0</v>
      </c>
      <c r="AZ14" s="56">
        <f>SUM(AZ15:AZ16)</f>
        <v>858.2931066434775</v>
      </c>
      <c r="BA14" s="56">
        <f>SUM(BA15:BA16)</f>
        <v>858.2931066434775</v>
      </c>
      <c r="BB14" s="56">
        <f>SUM(BB15:BB16)</f>
        <v>0.26348147233238095</v>
      </c>
      <c r="BC14" s="56">
        <f>SUM(BC15:BC16)</f>
        <v>215.691</v>
      </c>
      <c r="BD14" s="56"/>
      <c r="BE14" s="56"/>
      <c r="BF14" s="56">
        <f>SUM(BF15:BF16)</f>
        <v>3.9792717667565056</v>
      </c>
      <c r="BG14" s="56">
        <f>SUM(BG15:BG16)</f>
        <v>5345.977</v>
      </c>
      <c r="BH14" s="56">
        <f>SUM(BH15:BH16)</f>
        <v>1614.4840000000002</v>
      </c>
      <c r="BI14" s="56">
        <f>BH14/BG14*100</f>
        <v>30.199980284239906</v>
      </c>
      <c r="BJ14" s="56">
        <f>SUM(BJ15:BJ16)</f>
        <v>0</v>
      </c>
      <c r="BK14" s="56">
        <f>SUM(BK15:BK16)</f>
        <v>0</v>
      </c>
      <c r="BL14" s="56">
        <f>SUM(BL15:BL16)</f>
        <v>1206.785</v>
      </c>
      <c r="BM14" s="56">
        <f>SUM(BM15:BM16)</f>
        <v>1652.5410000000002</v>
      </c>
      <c r="BN14" s="56">
        <f>SUM(BN15:BN16)</f>
        <v>0</v>
      </c>
      <c r="BO14" s="56">
        <f>SUM(BO15:BO16)</f>
        <v>1553.099</v>
      </c>
      <c r="BP14" s="56">
        <f>SUM(BP15:BP16)</f>
        <v>1807.3659999999995</v>
      </c>
      <c r="BQ14" s="56">
        <f>SUM(BQ15:BQ16)</f>
        <v>0</v>
      </c>
      <c r="BR14" s="56">
        <f>SUM(BR15:BR16)</f>
        <v>1135.477</v>
      </c>
      <c r="BS14" s="56">
        <f>SUM(BS15:BS16)</f>
        <v>671.8889999999996</v>
      </c>
      <c r="BT14" s="56">
        <f>SUM(BT15:BT16)</f>
        <v>0</v>
      </c>
      <c r="BU14" s="56">
        <f>SUM(BU15:BU16)</f>
        <v>0</v>
      </c>
      <c r="BV14" s="56">
        <f>SUM(BV15:BV16)</f>
        <v>14190.554106643478</v>
      </c>
      <c r="BW14" s="56">
        <f>SUM(BW15:BW16)</f>
        <v>0</v>
      </c>
      <c r="BX14" s="56">
        <f>SUM(BX15:BX16)</f>
        <v>0</v>
      </c>
      <c r="BY14" s="56">
        <f>SUM(BY15:BY16)</f>
        <v>0</v>
      </c>
      <c r="BZ14" s="56">
        <f>SUM(BZ15:BZ16)</f>
        <v>0</v>
      </c>
      <c r="CA14" s="56">
        <f>SUM(CA15:CA16)</f>
        <v>0</v>
      </c>
      <c r="CB14" s="56">
        <f>SUM(CB15:CB16)</f>
        <v>14190.554106643478</v>
      </c>
      <c r="CC14" s="56">
        <f t="shared" si="2"/>
        <v>16.79211381612828</v>
      </c>
      <c r="CD14" s="56">
        <f>SUM(CD15:CD16)</f>
        <v>0</v>
      </c>
      <c r="CE14" s="91">
        <f>SUM(CE15:CE16)</f>
        <v>1329.9840000000002</v>
      </c>
      <c r="CF14" s="57"/>
      <c r="CG14" s="57"/>
      <c r="CH14" s="57"/>
    </row>
    <row r="15" spans="1:86" ht="26.25">
      <c r="A15" s="41"/>
      <c r="B15" s="80" t="s">
        <v>141</v>
      </c>
      <c r="C15" s="59">
        <f>SUM(D15:F15)</f>
        <v>818619.23</v>
      </c>
      <c r="D15" s="59">
        <v>237073.58</v>
      </c>
      <c r="E15" s="59">
        <v>479235.15</v>
      </c>
      <c r="F15" s="59">
        <v>102310.5</v>
      </c>
      <c r="G15" s="59"/>
      <c r="H15" s="59">
        <v>152.009</v>
      </c>
      <c r="I15" s="59">
        <v>123.199</v>
      </c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>
        <f>BA15</f>
        <v>858.2931066434775</v>
      </c>
      <c r="BA15" s="59">
        <f>BC15*BF15</f>
        <v>858.2931066434775</v>
      </c>
      <c r="BB15" s="59">
        <v>0.26348147233238095</v>
      </c>
      <c r="BC15" s="59">
        <f>BB15*C15/1000</f>
        <v>215.691</v>
      </c>
      <c r="BD15" s="59">
        <v>3.7120072451086803</v>
      </c>
      <c r="BE15" s="62">
        <v>1.072</v>
      </c>
      <c r="BF15" s="59">
        <f>BD15*BE15</f>
        <v>3.9792717667565056</v>
      </c>
      <c r="BG15" s="59">
        <v>4798.324</v>
      </c>
      <c r="BH15" s="59">
        <v>1449.093</v>
      </c>
      <c r="BI15" s="73">
        <f>BH15/BG15</f>
        <v>0.3019998232716257</v>
      </c>
      <c r="BJ15" s="59"/>
      <c r="BK15" s="59"/>
      <c r="BL15" s="59">
        <v>1206.785</v>
      </c>
      <c r="BM15" s="59">
        <v>1633.217</v>
      </c>
      <c r="BN15" s="59"/>
      <c r="BO15" s="59">
        <v>1543.163</v>
      </c>
      <c r="BP15" s="59">
        <f>SUM(BQ15:BS15)</f>
        <v>1612.5619999999994</v>
      </c>
      <c r="BQ15" s="59"/>
      <c r="BR15" s="59">
        <v>1013.091</v>
      </c>
      <c r="BS15" s="59">
        <v>599.4709999999995</v>
      </c>
      <c r="BT15" s="59"/>
      <c r="BU15" s="59"/>
      <c r="BV15" s="59">
        <f>H15+J15+AZ15+BG15+BH15+BJ15+BO15+BP15-BT15+BU15+BK15+BL15+BM15+BN15+AY15</f>
        <v>13253.446106643478</v>
      </c>
      <c r="BW15" s="59">
        <f>SUM(BX15:CA15)</f>
        <v>0</v>
      </c>
      <c r="BX15" s="59"/>
      <c r="BY15" s="59"/>
      <c r="BZ15" s="59"/>
      <c r="CA15" s="59"/>
      <c r="CB15" s="59">
        <f>BV15+BW15</f>
        <v>13253.446106643478</v>
      </c>
      <c r="CC15" s="59">
        <f>CB15/C15*1000</f>
        <v>16.19000094420391</v>
      </c>
      <c r="CD15" s="54" t="s">
        <v>69</v>
      </c>
      <c r="CE15" s="74">
        <f>I15+AY15+BJ15+BK15+BL15+BQ15</f>
        <v>1329.9840000000002</v>
      </c>
      <c r="CF15" s="53" t="s">
        <v>143</v>
      </c>
      <c r="CG15" s="88">
        <v>15.81</v>
      </c>
      <c r="CH15" s="88">
        <v>16.57</v>
      </c>
    </row>
    <row r="16" spans="1:86" ht="26.25">
      <c r="A16" s="41"/>
      <c r="B16" s="80" t="s">
        <v>142</v>
      </c>
      <c r="C16" s="59">
        <f>SUM(D16:F16)</f>
        <v>26453.3</v>
      </c>
      <c r="D16" s="59">
        <v>9883.25</v>
      </c>
      <c r="E16" s="59">
        <v>14330.52</v>
      </c>
      <c r="F16" s="59">
        <v>2239.53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>
        <f>BA16</f>
        <v>0</v>
      </c>
      <c r="BA16" s="59">
        <f>BC16*BF16</f>
        <v>0</v>
      </c>
      <c r="BB16" s="59"/>
      <c r="BC16" s="59">
        <f>BB16*C16/1000</f>
        <v>0</v>
      </c>
      <c r="BD16" s="59"/>
      <c r="BE16" s="62"/>
      <c r="BF16" s="59">
        <f>BD16*BE16</f>
        <v>0</v>
      </c>
      <c r="BG16" s="59">
        <v>547.653</v>
      </c>
      <c r="BH16" s="59">
        <v>165.391</v>
      </c>
      <c r="BI16" s="73">
        <f>BH16/BG16</f>
        <v>0.30199962384940826</v>
      </c>
      <c r="BJ16" s="59"/>
      <c r="BK16" s="59"/>
      <c r="BL16" s="59"/>
      <c r="BM16" s="59">
        <v>19.324</v>
      </c>
      <c r="BN16" s="59"/>
      <c r="BO16" s="59">
        <v>9.936</v>
      </c>
      <c r="BP16" s="59">
        <f>SUM(BQ16:BS16)</f>
        <v>194.80400000000003</v>
      </c>
      <c r="BQ16" s="59"/>
      <c r="BR16" s="59">
        <v>122.386</v>
      </c>
      <c r="BS16" s="59">
        <v>72.41800000000002</v>
      </c>
      <c r="BT16" s="59"/>
      <c r="BU16" s="59"/>
      <c r="BV16" s="59">
        <f>H16+J16+AZ16+BG16+BH16+BJ16+BO16+BP16-BT16+BU16+BK16+BL16+BM16+BN16+AY16</f>
        <v>937.1080000000001</v>
      </c>
      <c r="BW16" s="59">
        <f>SUM(BX16:CA16)</f>
        <v>0</v>
      </c>
      <c r="BX16" s="59"/>
      <c r="BY16" s="59"/>
      <c r="BZ16" s="59"/>
      <c r="CA16" s="59"/>
      <c r="CB16" s="59">
        <f>BV16+BW16</f>
        <v>937.1080000000001</v>
      </c>
      <c r="CC16" s="59">
        <f>CB16/C16*1000</f>
        <v>35.42499423512379</v>
      </c>
      <c r="CD16" s="54" t="s">
        <v>69</v>
      </c>
      <c r="CE16" s="74">
        <f>I16+AY16+BJ16+BK16+BL16+BQ16</f>
        <v>0</v>
      </c>
      <c r="CF16" s="53" t="s">
        <v>143</v>
      </c>
      <c r="CG16" s="88">
        <v>34.97</v>
      </c>
      <c r="CH16" s="88">
        <v>35.88</v>
      </c>
    </row>
  </sheetData>
  <sheetProtection/>
  <mergeCells count="29">
    <mergeCell ref="J3:AX3"/>
    <mergeCell ref="AY3:AY4"/>
    <mergeCell ref="BP3:BS3"/>
    <mergeCell ref="CC3:CC4"/>
    <mergeCell ref="CD3:CD4"/>
    <mergeCell ref="BW3:CA3"/>
    <mergeCell ref="CB3:CB4"/>
    <mergeCell ref="BV3:BV4"/>
    <mergeCell ref="BT3:BT4"/>
    <mergeCell ref="BU3:BU4"/>
    <mergeCell ref="A2:CE2"/>
    <mergeCell ref="A3:A4"/>
    <mergeCell ref="B3:B4"/>
    <mergeCell ref="C3:F3"/>
    <mergeCell ref="G3:G4"/>
    <mergeCell ref="H3:I3"/>
    <mergeCell ref="BJ3:BJ4"/>
    <mergeCell ref="BH3:BH4"/>
    <mergeCell ref="BM3:BM4"/>
    <mergeCell ref="BI3:BI4"/>
    <mergeCell ref="CE3:CE4"/>
    <mergeCell ref="CG3:CH3"/>
    <mergeCell ref="CF3:CF4"/>
    <mergeCell ref="AZ3:BF3"/>
    <mergeCell ref="BO3:BO4"/>
    <mergeCell ref="BG3:BG4"/>
    <mergeCell ref="BN3:BN4"/>
    <mergeCell ref="BK3:BK4"/>
    <mergeCell ref="BL3:B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abc</cp:lastModifiedBy>
  <cp:lastPrinted>2012-12-20T03:37:47Z</cp:lastPrinted>
  <dcterms:created xsi:type="dcterms:W3CDTF">2012-12-04T01:38:02Z</dcterms:created>
  <dcterms:modified xsi:type="dcterms:W3CDTF">2014-04-11T04:49:02Z</dcterms:modified>
  <cp:category/>
  <cp:version/>
  <cp:contentType/>
  <cp:contentStatus/>
</cp:coreProperties>
</file>