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12120" windowHeight="8370" tabRatio="961" firstSheet="11" activeTab="20"/>
  </bookViews>
  <sheets>
    <sheet name="пр.1" sheetId="40" r:id="rId1"/>
    <sheet name="пр.2" sheetId="41" r:id="rId2"/>
    <sheet name="пр.3" sheetId="42" r:id="rId3"/>
    <sheet name="пр.4" sheetId="43" r:id="rId4"/>
    <sheet name="пр.5" sheetId="57" r:id="rId5"/>
    <sheet name="пр.6 " sheetId="15" r:id="rId6"/>
    <sheet name="пр.7" sheetId="58" r:id="rId7"/>
    <sheet name="пр.8 2020г" sheetId="17" r:id="rId8"/>
    <sheet name="пр.9 2021-2022г" sheetId="65" r:id="rId9"/>
    <sheet name="пр. 10 2020г" sheetId="19" r:id="rId10"/>
    <sheet name="пр.11 2021-2022г" sheetId="60" r:id="rId11"/>
    <sheet name="пр.12 2021г" sheetId="21" r:id="rId12"/>
    <sheet name="пр.13 2022-2023г" sheetId="61" r:id="rId13"/>
    <sheet name="пр.14 2021г" sheetId="76" r:id="rId14"/>
    <sheet name="пр.15 2022-2023г" sheetId="77" r:id="rId15"/>
    <sheet name="пр.17 2021г" sheetId="27" r:id="rId16"/>
    <sheet name="пр.18 2022-2023г" sheetId="63" r:id="rId17"/>
    <sheet name="пр.21 2021г" sheetId="29" r:id="rId18"/>
    <sheet name="пр.22  2022-2023" sheetId="66" r:id="rId19"/>
    <sheet name="пр23 2021г" sheetId="74" r:id="rId20"/>
    <sheet name="пр24 2022-23" sheetId="75" r:id="rId21"/>
  </sheets>
  <externalReferences>
    <externalReference r:id="rId22"/>
  </externalReferences>
  <definedNames>
    <definedName name="_GoBack" localSheetId="9">'пр. 10 2020г'!#REF!</definedName>
    <definedName name="_xlnm._FilterDatabase" localSheetId="9" hidden="1">'пр. 10 2020г'!$A$12:$H$491</definedName>
    <definedName name="_xlnm._FilterDatabase" localSheetId="10" hidden="1">'пр.11 2021-2022г'!$A$12:$R$484</definedName>
    <definedName name="_xlnm._FilterDatabase" localSheetId="5" hidden="1">'пр.6 '!$A$10:$G$103</definedName>
    <definedName name="_xlnm._FilterDatabase" localSheetId="6" hidden="1">пр.7!$A$10:$I$64</definedName>
    <definedName name="_xlnm._FilterDatabase" localSheetId="7" hidden="1">'пр.8 2020г'!$A$10:$D$58</definedName>
    <definedName name="_xlnm._FilterDatabase" localSheetId="8" hidden="1">'пр.9 2021-2022г'!$A$11:$F$57</definedName>
    <definedName name="_xlnm.Print_Titles" localSheetId="9">'пр. 10 2020г'!$12:$12</definedName>
    <definedName name="_xlnm.Print_Titles" localSheetId="0">пр.1!$8:$9</definedName>
    <definedName name="_xlnm.Print_Titles" localSheetId="1">пр.2!$11:$12</definedName>
    <definedName name="_xlnm.Print_Titles" localSheetId="2">пр.3!$11:$12</definedName>
    <definedName name="_xlnm.Print_Titles" localSheetId="5">'пр.6 '!#REF!</definedName>
    <definedName name="_xlnm.Print_Titles" localSheetId="7">'пр.8 2020г'!#REF!</definedName>
    <definedName name="_xlnm.Print_Area" localSheetId="9">'пр. 10 2020г'!$A$1:$H$485</definedName>
    <definedName name="_xlnm.Print_Area" localSheetId="10">'пр.11 2021-2022г'!$A$1:$H$482</definedName>
    <definedName name="_xlnm.Print_Area" localSheetId="11">'пр.12 2021г'!$A$1:$C$31</definedName>
    <definedName name="_xlnm.Print_Area" localSheetId="12">'пр.13 2022-2023г'!$A$1:$D$32</definedName>
    <definedName name="_xlnm.Print_Area" localSheetId="13">'пр.14 2021г'!$A$1:$I$281</definedName>
    <definedName name="_xlnm.Print_Area" localSheetId="14">'пр.15 2022-2023г'!$A$1:$H$193</definedName>
    <definedName name="_xlnm.Print_Area" localSheetId="1">пр.2!$A$1:$D$80</definedName>
    <definedName name="_xlnm.Print_Area" localSheetId="17">'пр.21 2021г'!$A$1:$G$144</definedName>
    <definedName name="_xlnm.Print_Area" localSheetId="18">'пр.22  2022-2023'!$A$1:$E$65</definedName>
    <definedName name="_xlnm.Print_Area" localSheetId="2">пр.3!$A$1:$D$22</definedName>
    <definedName name="_xlnm.Print_Area" localSheetId="3">пр.4!$A$1:$D$59</definedName>
    <definedName name="_xlnm.Print_Area" localSheetId="4">пр.5!$A$1:$H$58</definedName>
    <definedName name="_xlnm.Print_Area" localSheetId="5">'пр.6 '!$A$1:$D$104</definedName>
    <definedName name="_xlnm.Print_Area" localSheetId="6">пр.7!$A$1:$E$66</definedName>
    <definedName name="_xlnm.Print_Area" localSheetId="7">'пр.8 2020г'!$A$1:$F$59</definedName>
    <definedName name="_xlnm.Print_Area" localSheetId="8">'пр.9 2021-2022г'!$A$29:$F$55</definedName>
    <definedName name="_xlnm.Print_Area" localSheetId="19">'пр23 2021г'!$A$1:$I$31</definedName>
  </definedNames>
  <calcPr calcId="144525"/>
  <fileRecoveryPr autoRecover="0"/>
</workbook>
</file>

<file path=xl/calcChain.xml><?xml version="1.0" encoding="utf-8"?>
<calcChain xmlns="http://schemas.openxmlformats.org/spreadsheetml/2006/main">
  <c r="G320" i="19" l="1"/>
  <c r="G285" i="19"/>
  <c r="C142" i="29"/>
  <c r="C119" i="29"/>
  <c r="H88" i="76" l="1"/>
  <c r="G82" i="77" l="1"/>
  <c r="G81" i="77" s="1"/>
  <c r="G80" i="77" s="1"/>
  <c r="H316" i="60"/>
  <c r="H264" i="60"/>
  <c r="G295" i="60"/>
  <c r="G262" i="60"/>
  <c r="H262" i="60"/>
  <c r="H260" i="60"/>
  <c r="H151" i="76"/>
  <c r="G179" i="76"/>
  <c r="I179" i="76" s="1"/>
  <c r="I178" i="76" s="1"/>
  <c r="G336" i="19"/>
  <c r="G181" i="76"/>
  <c r="I181" i="76" s="1"/>
  <c r="I180" i="76" s="1"/>
  <c r="G183" i="76"/>
  <c r="G182" i="76" s="1"/>
  <c r="G345" i="19"/>
  <c r="G104" i="19"/>
  <c r="G74" i="76"/>
  <c r="G73" i="76" s="1"/>
  <c r="G72" i="76"/>
  <c r="G71" i="76" s="1"/>
  <c r="G164" i="19"/>
  <c r="G281" i="19"/>
  <c r="G218" i="19"/>
  <c r="G453" i="60"/>
  <c r="G405" i="60"/>
  <c r="G404" i="60"/>
  <c r="H428" i="60"/>
  <c r="H427" i="60"/>
  <c r="H331" i="60"/>
  <c r="G331" i="60"/>
  <c r="G311" i="60"/>
  <c r="I59" i="58"/>
  <c r="H59" i="58"/>
  <c r="H320" i="60"/>
  <c r="G299" i="60"/>
  <c r="H69" i="77"/>
  <c r="H68" i="77" s="1"/>
  <c r="G69" i="77"/>
  <c r="G68" i="77" s="1"/>
  <c r="H206" i="60"/>
  <c r="H205" i="60" s="1"/>
  <c r="G205" i="60"/>
  <c r="G206" i="60"/>
  <c r="G90" i="60"/>
  <c r="G194" i="60"/>
  <c r="H266" i="60"/>
  <c r="G257" i="60"/>
  <c r="G124" i="77"/>
  <c r="G123" i="77" s="1"/>
  <c r="H329" i="60"/>
  <c r="G329" i="60"/>
  <c r="G312" i="60"/>
  <c r="G41" i="76"/>
  <c r="I41" i="76" s="1"/>
  <c r="I40" i="76" s="1"/>
  <c r="H205" i="19"/>
  <c r="H204" i="19" s="1"/>
  <c r="G204" i="19"/>
  <c r="F79" i="15"/>
  <c r="H139" i="19"/>
  <c r="H140" i="19"/>
  <c r="G483" i="19"/>
  <c r="H484" i="19"/>
  <c r="H483" i="19" s="1"/>
  <c r="G322" i="19"/>
  <c r="G162" i="19"/>
  <c r="H163" i="19"/>
  <c r="H162" i="19" s="1"/>
  <c r="G343" i="19"/>
  <c r="H344" i="19"/>
  <c r="H343" i="19" s="1"/>
  <c r="G178" i="76" l="1"/>
  <c r="G261" i="60"/>
  <c r="G260" i="60"/>
  <c r="G180" i="76"/>
  <c r="I72" i="76"/>
  <c r="I71" i="76" s="1"/>
  <c r="G40" i="76"/>
  <c r="G341" i="19"/>
  <c r="H342" i="19"/>
  <c r="H341" i="19" s="1"/>
  <c r="G348" i="19"/>
  <c r="G385" i="19"/>
  <c r="G300" i="19"/>
  <c r="G328" i="19"/>
  <c r="G419" i="19"/>
  <c r="G418" i="19"/>
  <c r="G238" i="19"/>
  <c r="G236" i="19"/>
  <c r="G233" i="19"/>
  <c r="G232" i="19"/>
  <c r="G121" i="19"/>
  <c r="G120" i="19"/>
  <c r="G117" i="19"/>
  <c r="G115" i="19"/>
  <c r="G112" i="19"/>
  <c r="G111" i="19"/>
  <c r="G225" i="19"/>
  <c r="G224" i="19" s="1"/>
  <c r="H226" i="19"/>
  <c r="H225" i="19" s="1"/>
  <c r="H224" i="19" s="1"/>
  <c r="G140" i="19"/>
  <c r="G93" i="19"/>
  <c r="G258" i="19"/>
  <c r="G338" i="19"/>
  <c r="G334" i="19"/>
  <c r="G332" i="19"/>
  <c r="G370" i="19"/>
  <c r="G364" i="19"/>
  <c r="G201" i="19"/>
  <c r="G102" i="19"/>
  <c r="G180" i="19"/>
  <c r="G279" i="19"/>
  <c r="G216" i="19"/>
  <c r="E46" i="58"/>
  <c r="D46" i="58"/>
  <c r="I29" i="58"/>
  <c r="H29" i="58"/>
  <c r="I28" i="58"/>
  <c r="H28" i="58"/>
  <c r="F49" i="15"/>
  <c r="G63" i="58"/>
  <c r="F63" i="58"/>
  <c r="G40" i="58"/>
  <c r="F40" i="58"/>
  <c r="G16" i="58"/>
  <c r="G12" i="58" s="1"/>
  <c r="F16" i="58"/>
  <c r="G13" i="58"/>
  <c r="F13" i="58"/>
  <c r="F60" i="15"/>
  <c r="D17" i="15"/>
  <c r="F40" i="15"/>
  <c r="F50" i="15"/>
  <c r="F51" i="15"/>
  <c r="F52" i="15"/>
  <c r="G149" i="76"/>
  <c r="I149" i="76" s="1"/>
  <c r="I148" i="76" s="1"/>
  <c r="G203" i="76"/>
  <c r="G439" i="19"/>
  <c r="G438" i="19" s="1"/>
  <c r="H440" i="19"/>
  <c r="H439" i="19" s="1"/>
  <c r="H438" i="19" s="1"/>
  <c r="I223" i="76"/>
  <c r="I222" i="76" s="1"/>
  <c r="G221" i="76"/>
  <c r="I221" i="76" s="1"/>
  <c r="I220" i="76" s="1"/>
  <c r="G199" i="76"/>
  <c r="G198" i="76" s="1"/>
  <c r="H150" i="76"/>
  <c r="F12" i="58" l="1"/>
  <c r="G148" i="76"/>
  <c r="I199" i="76"/>
  <c r="I198" i="76" s="1"/>
  <c r="G220" i="76"/>
  <c r="J220" i="76" s="1"/>
  <c r="G163" i="76" l="1"/>
  <c r="G162" i="76" s="1"/>
  <c r="G161" i="76"/>
  <c r="I161" i="76" s="1"/>
  <c r="I160" i="76" s="1"/>
  <c r="H143" i="76"/>
  <c r="G145" i="76"/>
  <c r="I145" i="76" s="1"/>
  <c r="G144" i="76"/>
  <c r="I144" i="76" s="1"/>
  <c r="H228" i="76"/>
  <c r="G234" i="76"/>
  <c r="G233" i="76" s="1"/>
  <c r="G230" i="76"/>
  <c r="G229" i="76" s="1"/>
  <c r="G232" i="76"/>
  <c r="G231" i="76" s="1"/>
  <c r="G226" i="76"/>
  <c r="G225" i="76"/>
  <c r="G224" i="76"/>
  <c r="D54" i="17"/>
  <c r="D53" i="17" s="1"/>
  <c r="G53" i="19"/>
  <c r="G52" i="19" s="1"/>
  <c r="G309" i="19"/>
  <c r="G160" i="76" l="1"/>
  <c r="I143" i="76"/>
  <c r="G143" i="76"/>
  <c r="G228" i="76"/>
  <c r="G227" i="76" s="1"/>
  <c r="I230" i="76"/>
  <c r="I229" i="76" s="1"/>
  <c r="I228" i="76" s="1"/>
  <c r="I227" i="76" s="1"/>
  <c r="G223" i="76"/>
  <c r="G222" i="76" s="1"/>
  <c r="G425" i="19"/>
  <c r="G424" i="19"/>
  <c r="G431" i="19" l="1"/>
  <c r="G430" i="19" s="1"/>
  <c r="G429" i="19" s="1"/>
  <c r="G411" i="19"/>
  <c r="G382" i="19"/>
  <c r="H383" i="19"/>
  <c r="H382" i="19" s="1"/>
  <c r="G373" i="19"/>
  <c r="H374" i="19"/>
  <c r="H373" i="19" s="1"/>
  <c r="G302" i="19"/>
  <c r="H304" i="19"/>
  <c r="H303" i="19"/>
  <c r="G357" i="19"/>
  <c r="G355" i="19"/>
  <c r="H356" i="19"/>
  <c r="H355" i="19" s="1"/>
  <c r="H354" i="19" s="1"/>
  <c r="H353" i="19" s="1"/>
  <c r="G351" i="19"/>
  <c r="G350" i="19"/>
  <c r="G349" i="19" s="1"/>
  <c r="H302" i="19" l="1"/>
  <c r="G354" i="19"/>
  <c r="G353" i="19" s="1"/>
  <c r="G44" i="19" l="1"/>
  <c r="G308" i="19" l="1"/>
  <c r="G307" i="19" s="1"/>
  <c r="G298" i="19"/>
  <c r="G297" i="19"/>
  <c r="G428" i="19"/>
  <c r="G427" i="19"/>
  <c r="G67" i="19"/>
  <c r="G69" i="19"/>
  <c r="G296" i="19" l="1"/>
  <c r="G323" i="19"/>
  <c r="G321" i="19"/>
  <c r="H322" i="19"/>
  <c r="H321" i="19" s="1"/>
  <c r="H50" i="76" l="1"/>
  <c r="H49" i="76" s="1"/>
  <c r="G54" i="76"/>
  <c r="G53" i="76" s="1"/>
  <c r="H125" i="76"/>
  <c r="G131" i="76"/>
  <c r="I131" i="76" s="1"/>
  <c r="I130" i="76" s="1"/>
  <c r="G133" i="76"/>
  <c r="G132" i="76" s="1"/>
  <c r="G108" i="19"/>
  <c r="H109" i="19"/>
  <c r="H108" i="19" s="1"/>
  <c r="I54" i="76" l="1"/>
  <c r="I53" i="76" s="1"/>
  <c r="I50" i="76" s="1"/>
  <c r="I49" i="76" s="1"/>
  <c r="G130" i="76"/>
  <c r="C109" i="29" l="1"/>
  <c r="C101" i="29"/>
  <c r="C78" i="29" l="1"/>
  <c r="G287" i="19"/>
  <c r="G68" i="19" l="1"/>
  <c r="G66" i="19"/>
  <c r="H67" i="19"/>
  <c r="H66" i="19" s="1"/>
  <c r="G455" i="19"/>
  <c r="E77" i="15"/>
  <c r="E53" i="15"/>
  <c r="E17" i="15"/>
  <c r="E13" i="15"/>
  <c r="G453" i="19"/>
  <c r="G159" i="19"/>
  <c r="G275" i="19"/>
  <c r="G272" i="19"/>
  <c r="G244" i="19"/>
  <c r="G81" i="19"/>
  <c r="G20" i="19"/>
  <c r="G127" i="19"/>
  <c r="H472" i="60" l="1"/>
  <c r="G472" i="60"/>
  <c r="G471" i="60"/>
  <c r="H42" i="57" l="1"/>
  <c r="G42" i="57"/>
  <c r="D42" i="43"/>
  <c r="H249" i="60" l="1"/>
  <c r="G249" i="60"/>
  <c r="H471" i="60"/>
  <c r="G189" i="77" l="1"/>
  <c r="G188" i="77" s="1"/>
  <c r="G187" i="77"/>
  <c r="G186" i="77" s="1"/>
  <c r="G185" i="77"/>
  <c r="G184" i="77"/>
  <c r="G183" i="77" s="1"/>
  <c r="H184" i="77"/>
  <c r="H183" i="77" s="1"/>
  <c r="G452" i="60"/>
  <c r="G450" i="60"/>
  <c r="G448" i="60"/>
  <c r="H272" i="76"/>
  <c r="G277" i="76"/>
  <c r="I277" i="76" s="1"/>
  <c r="I276" i="76" s="1"/>
  <c r="H192" i="77"/>
  <c r="G192" i="77"/>
  <c r="G191" i="77" s="1"/>
  <c r="G190" i="77" s="1"/>
  <c r="H185" i="77"/>
  <c r="H181" i="77"/>
  <c r="H180" i="77" s="1"/>
  <c r="G181" i="77"/>
  <c r="H179" i="77"/>
  <c r="H178" i="77" s="1"/>
  <c r="G179" i="77"/>
  <c r="H175" i="77"/>
  <c r="H174" i="77" s="1"/>
  <c r="H173" i="77" s="1"/>
  <c r="G175" i="77"/>
  <c r="G171" i="77"/>
  <c r="G172" i="77"/>
  <c r="G168" i="77"/>
  <c r="G169" i="77"/>
  <c r="H166" i="77"/>
  <c r="H165" i="77" s="1"/>
  <c r="H164" i="77" s="1"/>
  <c r="G166" i="77"/>
  <c r="G165" i="77"/>
  <c r="G163" i="77"/>
  <c r="G162" i="77"/>
  <c r="G161" i="77"/>
  <c r="G160" i="77"/>
  <c r="G159" i="77"/>
  <c r="G158" i="77"/>
  <c r="G157" i="77"/>
  <c r="G155" i="77"/>
  <c r="G154" i="77"/>
  <c r="G145" i="77"/>
  <c r="G146" i="77"/>
  <c r="G147" i="77"/>
  <c r="H145" i="77"/>
  <c r="H146" i="77"/>
  <c r="H147" i="77"/>
  <c r="H139" i="77"/>
  <c r="H141" i="77"/>
  <c r="H143" i="77"/>
  <c r="G143" i="77"/>
  <c r="G141" i="77"/>
  <c r="G139" i="77"/>
  <c r="G136" i="77"/>
  <c r="G135" i="77" s="1"/>
  <c r="H136" i="77"/>
  <c r="H134" i="77"/>
  <c r="H133" i="77" s="1"/>
  <c r="G134" i="77"/>
  <c r="G133" i="77" s="1"/>
  <c r="G132" i="77"/>
  <c r="H130" i="77"/>
  <c r="G130" i="77"/>
  <c r="G129" i="77" s="1"/>
  <c r="H128" i="77"/>
  <c r="H127" i="77" s="1"/>
  <c r="G128" i="77"/>
  <c r="H122" i="77"/>
  <c r="H121" i="77" s="1"/>
  <c r="G122" i="77"/>
  <c r="H120" i="77"/>
  <c r="G120" i="77"/>
  <c r="G119" i="77" s="1"/>
  <c r="H118" i="77"/>
  <c r="G118" i="77"/>
  <c r="G117" i="77" s="1"/>
  <c r="H116" i="77"/>
  <c r="G116" i="77"/>
  <c r="H114" i="77"/>
  <c r="G114" i="77"/>
  <c r="H112" i="77"/>
  <c r="H111" i="77" s="1"/>
  <c r="G112" i="77"/>
  <c r="H110" i="77"/>
  <c r="G110" i="77"/>
  <c r="H108" i="77"/>
  <c r="H107" i="77" s="1"/>
  <c r="G108" i="77"/>
  <c r="H106" i="77"/>
  <c r="H105" i="77" s="1"/>
  <c r="H140" i="76"/>
  <c r="H102" i="77"/>
  <c r="H101" i="77" s="1"/>
  <c r="G102" i="77"/>
  <c r="H99" i="77"/>
  <c r="H100" i="77"/>
  <c r="G99" i="77"/>
  <c r="G100" i="77"/>
  <c r="H96" i="77"/>
  <c r="H97" i="77"/>
  <c r="G91" i="77"/>
  <c r="G90" i="77" s="1"/>
  <c r="G89" i="77"/>
  <c r="H89" i="77" s="1"/>
  <c r="H88" i="77" s="1"/>
  <c r="H86" i="77"/>
  <c r="H85" i="77"/>
  <c r="G85" i="77"/>
  <c r="H79" i="77"/>
  <c r="H78" i="77" s="1"/>
  <c r="H77" i="77" s="1"/>
  <c r="G79" i="77"/>
  <c r="G78" i="77" s="1"/>
  <c r="G77" i="77" s="1"/>
  <c r="H76" i="77"/>
  <c r="H75" i="77" s="1"/>
  <c r="G76" i="77"/>
  <c r="G75" i="77" s="1"/>
  <c r="G74" i="77"/>
  <c r="G73" i="77" s="1"/>
  <c r="H72" i="77"/>
  <c r="H70" i="77"/>
  <c r="G70" i="77"/>
  <c r="H71" i="77"/>
  <c r="G71" i="77"/>
  <c r="H65" i="77"/>
  <c r="H63" i="77" s="1"/>
  <c r="G65" i="77"/>
  <c r="H62" i="77"/>
  <c r="H61" i="77" s="1"/>
  <c r="G62" i="77"/>
  <c r="G61" i="77" s="1"/>
  <c r="H56" i="77"/>
  <c r="H54" i="77" s="1"/>
  <c r="G56" i="77"/>
  <c r="H51" i="77"/>
  <c r="H50" i="77" s="1"/>
  <c r="G51" i="77"/>
  <c r="H53" i="77"/>
  <c r="H52" i="77" s="1"/>
  <c r="G53" i="77"/>
  <c r="G52" i="77" s="1"/>
  <c r="H47" i="77"/>
  <c r="G47" i="77"/>
  <c r="H45" i="77"/>
  <c r="G45" i="77"/>
  <c r="H41" i="77"/>
  <c r="G41" i="77"/>
  <c r="H40" i="77"/>
  <c r="G40" i="77"/>
  <c r="H38" i="77"/>
  <c r="H37" i="77" s="1"/>
  <c r="G38" i="77"/>
  <c r="G37" i="77" s="1"/>
  <c r="H36" i="77"/>
  <c r="G36" i="77"/>
  <c r="G35" i="77" s="1"/>
  <c r="H32" i="77"/>
  <c r="H31" i="77" s="1"/>
  <c r="G32" i="77"/>
  <c r="G31" i="77" s="1"/>
  <c r="H30" i="77"/>
  <c r="G30" i="77"/>
  <c r="H29" i="77"/>
  <c r="H28" i="77" s="1"/>
  <c r="G29" i="77"/>
  <c r="H27" i="77"/>
  <c r="G27" i="77"/>
  <c r="G26" i="77" s="1"/>
  <c r="H23" i="77"/>
  <c r="H21" i="77" s="1"/>
  <c r="G23" i="77"/>
  <c r="G21" i="77" s="1"/>
  <c r="H193" i="60"/>
  <c r="G193" i="60"/>
  <c r="H195" i="60"/>
  <c r="G195" i="60"/>
  <c r="H18" i="77"/>
  <c r="H17" i="77" s="1"/>
  <c r="H20" i="77"/>
  <c r="H19" i="77" s="1"/>
  <c r="G20" i="77"/>
  <c r="G18" i="77"/>
  <c r="H13" i="77"/>
  <c r="H12" i="77" s="1"/>
  <c r="H11" i="77" s="1"/>
  <c r="G13" i="77"/>
  <c r="G12" i="77" s="1"/>
  <c r="G11" i="77" s="1"/>
  <c r="G150" i="77"/>
  <c r="G149" i="77" s="1"/>
  <c r="G148" i="77" s="1"/>
  <c r="H149" i="77"/>
  <c r="H148" i="77" s="1"/>
  <c r="H91" i="77"/>
  <c r="H90" i="77" s="1"/>
  <c r="H87" i="77" s="1"/>
  <c r="G59" i="77"/>
  <c r="H59" i="77"/>
  <c r="F38" i="65"/>
  <c r="D38" i="65"/>
  <c r="H455" i="60"/>
  <c r="H460" i="60"/>
  <c r="G460" i="60"/>
  <c r="H462" i="60"/>
  <c r="G462" i="60"/>
  <c r="H467" i="60"/>
  <c r="G467" i="60"/>
  <c r="H470" i="60"/>
  <c r="G470" i="60"/>
  <c r="H474" i="60"/>
  <c r="G474" i="60"/>
  <c r="H443" i="60"/>
  <c r="H442" i="60" s="1"/>
  <c r="H432" i="60" s="1"/>
  <c r="G443" i="60"/>
  <c r="G447" i="60" l="1"/>
  <c r="G446" i="60" s="1"/>
  <c r="G466" i="60"/>
  <c r="H182" i="77"/>
  <c r="G182" i="77"/>
  <c r="G276" i="76"/>
  <c r="H55" i="77"/>
  <c r="H95" i="77"/>
  <c r="H84" i="77"/>
  <c r="H83" i="77" s="1"/>
  <c r="H144" i="77"/>
  <c r="G98" i="77"/>
  <c r="H98" i="77"/>
  <c r="H94" i="77" s="1"/>
  <c r="H93" i="77" s="1"/>
  <c r="H22" i="77"/>
  <c r="G39" i="77"/>
  <c r="G153" i="77"/>
  <c r="G164" i="77"/>
  <c r="H58" i="77"/>
  <c r="G156" i="77"/>
  <c r="H16" i="77"/>
  <c r="H15" i="77" s="1"/>
  <c r="G142" i="77"/>
  <c r="G167" i="77"/>
  <c r="H177" i="77"/>
  <c r="H176" i="77" s="1"/>
  <c r="H57" i="77"/>
  <c r="H48" i="77"/>
  <c r="G19" i="77"/>
  <c r="G458" i="60"/>
  <c r="G457" i="60" s="1"/>
  <c r="G57" i="77"/>
  <c r="H49" i="77"/>
  <c r="G54" i="77"/>
  <c r="G55" i="77"/>
  <c r="G64" i="77"/>
  <c r="G140" i="77"/>
  <c r="G63" i="77"/>
  <c r="G127" i="77"/>
  <c r="H26" i="77"/>
  <c r="H109" i="77"/>
  <c r="H170" i="77"/>
  <c r="H152" i="77" s="1"/>
  <c r="H113" i="77"/>
  <c r="H142" i="77"/>
  <c r="H35" i="77"/>
  <c r="G58" i="77"/>
  <c r="G115" i="77"/>
  <c r="H115" i="77"/>
  <c r="H117" i="77"/>
  <c r="H119" i="77"/>
  <c r="G121" i="77"/>
  <c r="H129" i="77"/>
  <c r="G170" i="77"/>
  <c r="G174" i="77"/>
  <c r="G28" i="77"/>
  <c r="G88" i="77"/>
  <c r="G87" i="77" s="1"/>
  <c r="G101" i="77"/>
  <c r="G107" i="77"/>
  <c r="G111" i="77"/>
  <c r="H140" i="77"/>
  <c r="G144" i="77"/>
  <c r="G178" i="77"/>
  <c r="G22" i="77"/>
  <c r="G17" i="77"/>
  <c r="G50" i="77"/>
  <c r="G109" i="77"/>
  <c r="G113" i="77"/>
  <c r="G131" i="77"/>
  <c r="G180" i="77"/>
  <c r="G152" i="77" l="1"/>
  <c r="G151" i="77" s="1"/>
  <c r="G138" i="77"/>
  <c r="G137" i="77" s="1"/>
  <c r="H138" i="77"/>
  <c r="H137" i="77" s="1"/>
  <c r="G126" i="77"/>
  <c r="G125" i="77" s="1"/>
  <c r="H104" i="77"/>
  <c r="H103" i="77" s="1"/>
  <c r="H151" i="77"/>
  <c r="H135" i="77"/>
  <c r="H39" i="77"/>
  <c r="G49" i="77"/>
  <c r="G48" i="77"/>
  <c r="G16" i="77"/>
  <c r="G15" i="77"/>
  <c r="G173" i="77"/>
  <c r="G177" i="77"/>
  <c r="G176" i="77" s="1"/>
  <c r="H14" i="77" l="1"/>
  <c r="G14" i="77"/>
  <c r="G436" i="60" l="1"/>
  <c r="G435" i="60" s="1"/>
  <c r="G434" i="60" s="1"/>
  <c r="G440" i="60"/>
  <c r="G439" i="60" s="1"/>
  <c r="G438" i="60" s="1"/>
  <c r="H385" i="60"/>
  <c r="H411" i="60"/>
  <c r="H410" i="60" s="1"/>
  <c r="H415" i="60"/>
  <c r="H423" i="60"/>
  <c r="H426" i="60"/>
  <c r="H429" i="60"/>
  <c r="G410" i="60"/>
  <c r="G433" i="60" l="1"/>
  <c r="G432" i="60" s="1"/>
  <c r="G409" i="60"/>
  <c r="H414" i="60"/>
  <c r="H409" i="60" s="1"/>
  <c r="G389" i="60" l="1"/>
  <c r="G392" i="60"/>
  <c r="G400" i="60"/>
  <c r="G403" i="60"/>
  <c r="G406" i="60"/>
  <c r="H383" i="60"/>
  <c r="H382" i="60" s="1"/>
  <c r="G383" i="60"/>
  <c r="G382" i="60" s="1"/>
  <c r="H380" i="60"/>
  <c r="G380" i="60"/>
  <c r="G369" i="60"/>
  <c r="H369" i="60"/>
  <c r="H371" i="60"/>
  <c r="G371" i="60"/>
  <c r="H373" i="60"/>
  <c r="G373" i="60"/>
  <c r="H359" i="60"/>
  <c r="G359" i="60"/>
  <c r="H361" i="60"/>
  <c r="G361" i="60"/>
  <c r="H363" i="60"/>
  <c r="G363" i="60"/>
  <c r="H346" i="60"/>
  <c r="H348" i="60"/>
  <c r="H350" i="60"/>
  <c r="H352" i="60"/>
  <c r="G346" i="60"/>
  <c r="G348" i="60"/>
  <c r="G350" i="60"/>
  <c r="G352" i="60"/>
  <c r="H337" i="60"/>
  <c r="H336" i="60" s="1"/>
  <c r="H341" i="60"/>
  <c r="H343" i="60"/>
  <c r="G337" i="60"/>
  <c r="G339" i="60"/>
  <c r="G341" i="60"/>
  <c r="G343" i="60"/>
  <c r="G315" i="60"/>
  <c r="H317" i="60"/>
  <c r="G317" i="60"/>
  <c r="H319" i="60"/>
  <c r="G319" i="60"/>
  <c r="H321" i="60"/>
  <c r="G321" i="60"/>
  <c r="H323" i="60"/>
  <c r="G323" i="60"/>
  <c r="H325" i="60"/>
  <c r="G325" i="60"/>
  <c r="H327" i="60"/>
  <c r="G327" i="60"/>
  <c r="H294" i="60"/>
  <c r="H296" i="60"/>
  <c r="G296" i="60"/>
  <c r="H298" i="60"/>
  <c r="G298" i="60"/>
  <c r="H300" i="60"/>
  <c r="G300" i="60"/>
  <c r="H302" i="60"/>
  <c r="G302" i="60"/>
  <c r="H308" i="60"/>
  <c r="H306" i="60"/>
  <c r="G304" i="60"/>
  <c r="G306" i="60"/>
  <c r="G308" i="60"/>
  <c r="G310" i="60"/>
  <c r="H277" i="60"/>
  <c r="H280" i="60"/>
  <c r="G280" i="60"/>
  <c r="H272" i="60"/>
  <c r="H271" i="60" s="1"/>
  <c r="G272" i="60"/>
  <c r="G271" i="60" s="1"/>
  <c r="G258" i="60"/>
  <c r="H243" i="60"/>
  <c r="G243" i="60"/>
  <c r="G235" i="60"/>
  <c r="H237" i="60"/>
  <c r="G237" i="60"/>
  <c r="H225" i="60"/>
  <c r="G225" i="60"/>
  <c r="H228" i="60"/>
  <c r="G228" i="60"/>
  <c r="H221" i="60"/>
  <c r="H220" i="60" s="1"/>
  <c r="G221" i="60"/>
  <c r="G220" i="60" s="1"/>
  <c r="H202" i="60"/>
  <c r="H201" i="60" s="1"/>
  <c r="G202" i="60"/>
  <c r="H198" i="60"/>
  <c r="H197" i="60" s="1"/>
  <c r="G198" i="60"/>
  <c r="G197" i="60" s="1"/>
  <c r="H187" i="60"/>
  <c r="G187" i="60"/>
  <c r="H178" i="60"/>
  <c r="G178" i="60"/>
  <c r="H182" i="60"/>
  <c r="H184" i="60"/>
  <c r="G182" i="60"/>
  <c r="G184" i="60"/>
  <c r="H172" i="60"/>
  <c r="G172" i="60"/>
  <c r="H162" i="60"/>
  <c r="H163" i="60"/>
  <c r="G163" i="60"/>
  <c r="H165" i="60"/>
  <c r="G165" i="60"/>
  <c r="H167" i="60"/>
  <c r="G167" i="60"/>
  <c r="G162" i="60"/>
  <c r="H157" i="60"/>
  <c r="G157" i="60"/>
  <c r="H152" i="60"/>
  <c r="G152" i="60"/>
  <c r="H147" i="60"/>
  <c r="G147" i="60"/>
  <c r="H144" i="60"/>
  <c r="G144" i="60"/>
  <c r="H140" i="60"/>
  <c r="G140" i="60"/>
  <c r="H136" i="60"/>
  <c r="G136" i="60"/>
  <c r="G134" i="60"/>
  <c r="H134" i="60"/>
  <c r="H131" i="60"/>
  <c r="G131" i="60"/>
  <c r="H129" i="60"/>
  <c r="G129" i="60"/>
  <c r="H123" i="60"/>
  <c r="G123" i="60"/>
  <c r="H121" i="60"/>
  <c r="H120" i="60" s="1"/>
  <c r="G121" i="60"/>
  <c r="G120" i="60" s="1"/>
  <c r="H105" i="60"/>
  <c r="G105" i="60"/>
  <c r="H98" i="60"/>
  <c r="H100" i="60"/>
  <c r="G98" i="60"/>
  <c r="G100" i="60"/>
  <c r="H92" i="60"/>
  <c r="H91" i="60" s="1"/>
  <c r="F17" i="65" s="1"/>
  <c r="G92" i="60"/>
  <c r="G91" i="60" s="1"/>
  <c r="D17" i="65" s="1"/>
  <c r="H89" i="60"/>
  <c r="G89" i="60"/>
  <c r="H85" i="60"/>
  <c r="H84" i="60" s="1"/>
  <c r="G85" i="60"/>
  <c r="G84" i="60" s="1"/>
  <c r="H81" i="60"/>
  <c r="G81" i="60"/>
  <c r="H77" i="60"/>
  <c r="H76" i="60" s="1"/>
  <c r="H75" i="60" s="1"/>
  <c r="G77" i="60"/>
  <c r="G76" i="60" s="1"/>
  <c r="G75" i="60" s="1"/>
  <c r="H71" i="60"/>
  <c r="G71" i="60"/>
  <c r="H66" i="60"/>
  <c r="G66" i="60"/>
  <c r="G64" i="60"/>
  <c r="G63" i="60" s="1"/>
  <c r="G62" i="60" s="1"/>
  <c r="G61" i="60" s="1"/>
  <c r="H56" i="60"/>
  <c r="G56" i="60"/>
  <c r="H42" i="60"/>
  <c r="H41" i="60" s="1"/>
  <c r="H49" i="60"/>
  <c r="G49" i="60"/>
  <c r="H45" i="60"/>
  <c r="G45" i="60"/>
  <c r="H32" i="60"/>
  <c r="G32" i="60"/>
  <c r="H35" i="60"/>
  <c r="G35" i="60"/>
  <c r="H28" i="60"/>
  <c r="G28" i="60"/>
  <c r="H25" i="60"/>
  <c r="G25" i="60"/>
  <c r="H21" i="60"/>
  <c r="G21" i="60"/>
  <c r="H17" i="60"/>
  <c r="G17" i="60"/>
  <c r="H293" i="60" l="1"/>
  <c r="H367" i="60"/>
  <c r="G367" i="60"/>
  <c r="G357" i="60"/>
  <c r="G356" i="60" s="1"/>
  <c r="H357" i="60"/>
  <c r="G336" i="60"/>
  <c r="H276" i="60"/>
  <c r="G97" i="60"/>
  <c r="G96" i="60" s="1"/>
  <c r="H97" i="60"/>
  <c r="H94" i="76"/>
  <c r="I63" i="76"/>
  <c r="H57" i="76"/>
  <c r="H17" i="76"/>
  <c r="I23" i="76"/>
  <c r="H12" i="76"/>
  <c r="I12" i="76"/>
  <c r="I22" i="76"/>
  <c r="H16" i="76"/>
  <c r="G89" i="19"/>
  <c r="E32" i="17" l="1"/>
  <c r="E41" i="17"/>
  <c r="E29" i="17"/>
  <c r="G280" i="76" l="1"/>
  <c r="G274" i="76"/>
  <c r="H400" i="19"/>
  <c r="H399" i="19" s="1"/>
  <c r="G400" i="19"/>
  <c r="G399" i="19" s="1"/>
  <c r="H267" i="76"/>
  <c r="I270" i="76"/>
  <c r="G241" i="76"/>
  <c r="G242" i="76"/>
  <c r="G244" i="76"/>
  <c r="G245" i="76"/>
  <c r="G246" i="76"/>
  <c r="G247" i="76"/>
  <c r="G250" i="76"/>
  <c r="H251" i="76"/>
  <c r="G252" i="76"/>
  <c r="I252" i="76" s="1"/>
  <c r="G253" i="76"/>
  <c r="I253" i="76" s="1"/>
  <c r="G417" i="19"/>
  <c r="G255" i="76"/>
  <c r="G256" i="76"/>
  <c r="I256" i="76" s="1"/>
  <c r="H260" i="76"/>
  <c r="I260" i="76"/>
  <c r="H257" i="76"/>
  <c r="G258" i="76"/>
  <c r="G259" i="76"/>
  <c r="I259" i="76" s="1"/>
  <c r="G261" i="76"/>
  <c r="G262" i="76"/>
  <c r="I236" i="76"/>
  <c r="I235" i="76" s="1"/>
  <c r="G237" i="76"/>
  <c r="G236" i="76" s="1"/>
  <c r="G235" i="76" s="1"/>
  <c r="G219" i="76"/>
  <c r="G218" i="76"/>
  <c r="I218" i="76" s="1"/>
  <c r="G217" i="76"/>
  <c r="G215" i="76"/>
  <c r="I215" i="76" s="1"/>
  <c r="I214" i="76" s="1"/>
  <c r="I212" i="76"/>
  <c r="G213" i="76"/>
  <c r="G212" i="76" s="1"/>
  <c r="G211" i="76"/>
  <c r="I211" i="76" s="1"/>
  <c r="G209" i="76"/>
  <c r="H196" i="76"/>
  <c r="I196" i="76"/>
  <c r="H190" i="76"/>
  <c r="H187" i="76" s="1"/>
  <c r="I188" i="76"/>
  <c r="G191" i="76"/>
  <c r="G190" i="76" s="1"/>
  <c r="I192" i="76"/>
  <c r="G193" i="76"/>
  <c r="G192" i="76" s="1"/>
  <c r="G197" i="76"/>
  <c r="G196" i="76" s="1"/>
  <c r="G201" i="76"/>
  <c r="G200" i="76" s="1"/>
  <c r="I166" i="76"/>
  <c r="I176" i="76"/>
  <c r="G155" i="76"/>
  <c r="I155" i="76" s="1"/>
  <c r="I154" i="76" s="1"/>
  <c r="G157" i="76"/>
  <c r="G156" i="76" s="1"/>
  <c r="G159" i="76"/>
  <c r="G158" i="76" s="1"/>
  <c r="G165" i="76"/>
  <c r="G164" i="76" s="1"/>
  <c r="G167" i="76"/>
  <c r="G166" i="76" s="1"/>
  <c r="G169" i="76"/>
  <c r="G168" i="76" s="1"/>
  <c r="I170" i="76"/>
  <c r="G171" i="76"/>
  <c r="G170" i="76" s="1"/>
  <c r="G173" i="76"/>
  <c r="G172" i="76" s="1"/>
  <c r="G175" i="76"/>
  <c r="G174" i="76" s="1"/>
  <c r="G177" i="76"/>
  <c r="G176" i="76" s="1"/>
  <c r="G185" i="76"/>
  <c r="G184" i="76" s="1"/>
  <c r="G147" i="76"/>
  <c r="G146" i="76" s="1"/>
  <c r="H137" i="76"/>
  <c r="I137" i="76"/>
  <c r="G142" i="76"/>
  <c r="G141" i="76"/>
  <c r="G138" i="76"/>
  <c r="G127" i="76"/>
  <c r="G123" i="76"/>
  <c r="G108" i="76"/>
  <c r="H109" i="76"/>
  <c r="G110" i="76"/>
  <c r="G109" i="76" s="1"/>
  <c r="H111" i="76"/>
  <c r="I111" i="76"/>
  <c r="G112" i="76"/>
  <c r="G111" i="76" s="1"/>
  <c r="H119" i="76"/>
  <c r="I119" i="76"/>
  <c r="H117" i="76"/>
  <c r="H115" i="76"/>
  <c r="I115" i="76"/>
  <c r="H113" i="76"/>
  <c r="G114" i="76"/>
  <c r="G113" i="76" s="1"/>
  <c r="G116" i="76"/>
  <c r="G115" i="76" s="1"/>
  <c r="G118" i="76"/>
  <c r="G117" i="76" s="1"/>
  <c r="G120" i="76"/>
  <c r="G119" i="76" s="1"/>
  <c r="H93" i="76"/>
  <c r="G99" i="76"/>
  <c r="G98" i="76" s="1"/>
  <c r="H87" i="76"/>
  <c r="I91" i="76"/>
  <c r="G89" i="76"/>
  <c r="H83" i="76"/>
  <c r="H85" i="76"/>
  <c r="I85" i="76"/>
  <c r="G86" i="76"/>
  <c r="G85" i="76" s="1"/>
  <c r="G84" i="76"/>
  <c r="G83" i="76" s="1"/>
  <c r="G80" i="76"/>
  <c r="G77" i="76"/>
  <c r="G68" i="76"/>
  <c r="I68" i="76" s="1"/>
  <c r="I67" i="76" s="1"/>
  <c r="G70" i="76"/>
  <c r="I62" i="76"/>
  <c r="I58" i="76"/>
  <c r="G59" i="76"/>
  <c r="G58" i="76" s="1"/>
  <c r="G61" i="76"/>
  <c r="G60" i="76" s="1"/>
  <c r="G51" i="76"/>
  <c r="G55" i="76"/>
  <c r="G47" i="76"/>
  <c r="I29" i="76"/>
  <c r="H42" i="76"/>
  <c r="G44" i="76"/>
  <c r="G43" i="76"/>
  <c r="I38" i="76"/>
  <c r="H36" i="76"/>
  <c r="H34" i="76"/>
  <c r="I34" i="76"/>
  <c r="H32" i="76"/>
  <c r="I32" i="76"/>
  <c r="H27" i="76"/>
  <c r="G33" i="76"/>
  <c r="J33" i="76" s="1"/>
  <c r="H15" i="76"/>
  <c r="G24" i="76"/>
  <c r="G21" i="76"/>
  <c r="G20" i="76" s="1"/>
  <c r="G19" i="76"/>
  <c r="G18" i="76" s="1"/>
  <c r="H11" i="76"/>
  <c r="I11" i="76"/>
  <c r="G14" i="76"/>
  <c r="G13" i="76"/>
  <c r="H476" i="19"/>
  <c r="H479" i="19"/>
  <c r="H481" i="19"/>
  <c r="G476" i="19"/>
  <c r="G481" i="19"/>
  <c r="H473" i="19"/>
  <c r="G473" i="19"/>
  <c r="G471" i="19"/>
  <c r="H469" i="19"/>
  <c r="G469" i="19"/>
  <c r="G467" i="19"/>
  <c r="G420" i="19"/>
  <c r="G423" i="19"/>
  <c r="J108" i="19" s="1"/>
  <c r="L108" i="19" s="1"/>
  <c r="L302" i="19" s="1"/>
  <c r="H426" i="19"/>
  <c r="G426" i="19"/>
  <c r="J109" i="19" s="1"/>
  <c r="H409" i="19"/>
  <c r="G415" i="19"/>
  <c r="G249" i="76" s="1"/>
  <c r="G414" i="19"/>
  <c r="G248" i="76" s="1"/>
  <c r="I90" i="76" l="1"/>
  <c r="I88" i="76"/>
  <c r="I87" i="76" s="1"/>
  <c r="H136" i="76"/>
  <c r="H135" i="76" s="1"/>
  <c r="H475" i="19"/>
  <c r="F31" i="17" s="1"/>
  <c r="I251" i="76"/>
  <c r="I141" i="76"/>
  <c r="G140" i="76"/>
  <c r="G107" i="76"/>
  <c r="H107" i="76"/>
  <c r="H239" i="76"/>
  <c r="H238" i="76" s="1"/>
  <c r="H79" i="76"/>
  <c r="G75" i="76"/>
  <c r="G76" i="76"/>
  <c r="G57" i="76"/>
  <c r="G16" i="76"/>
  <c r="G17" i="76"/>
  <c r="G22" i="76"/>
  <c r="G23" i="76"/>
  <c r="G12" i="76"/>
  <c r="G240" i="76"/>
  <c r="G251" i="76"/>
  <c r="G243" i="76"/>
  <c r="G260" i="76"/>
  <c r="G257" i="76"/>
  <c r="G254" i="76"/>
  <c r="I258" i="76"/>
  <c r="I257" i="76" s="1"/>
  <c r="I255" i="76"/>
  <c r="I254" i="76" s="1"/>
  <c r="J236" i="76"/>
  <c r="G216" i="76"/>
  <c r="I216" i="76" s="1"/>
  <c r="G214" i="76"/>
  <c r="I217" i="76"/>
  <c r="H186" i="76"/>
  <c r="I159" i="76"/>
  <c r="I158" i="76" s="1"/>
  <c r="G154" i="76"/>
  <c r="H106" i="76"/>
  <c r="G106" i="76"/>
  <c r="H78" i="76"/>
  <c r="G42" i="76"/>
  <c r="G32" i="76"/>
  <c r="G11" i="76"/>
  <c r="G409" i="19"/>
  <c r="I239" i="76" l="1"/>
  <c r="I238" i="76" s="1"/>
  <c r="G239" i="76"/>
  <c r="G238" i="76" s="1"/>
  <c r="H406" i="19" l="1"/>
  <c r="G406" i="19"/>
  <c r="G436" i="19"/>
  <c r="G435" i="19" s="1"/>
  <c r="G446" i="19"/>
  <c r="H444" i="19"/>
  <c r="G434" i="19" l="1"/>
  <c r="G433" i="19"/>
  <c r="H461" i="19"/>
  <c r="G459" i="19"/>
  <c r="G461" i="19"/>
  <c r="H454" i="19"/>
  <c r="G452" i="19"/>
  <c r="G454" i="19"/>
  <c r="G450" i="19"/>
  <c r="G449" i="19" s="1"/>
  <c r="H292" i="19"/>
  <c r="H291" i="19" s="1"/>
  <c r="G292" i="19"/>
  <c r="G291" i="19" s="1"/>
  <c r="H286" i="19"/>
  <c r="G39" i="76" l="1"/>
  <c r="G38" i="76" s="1"/>
  <c r="G37" i="76"/>
  <c r="G36" i="76" s="1"/>
  <c r="G35" i="76"/>
  <c r="G34" i="76" s="1"/>
  <c r="G30" i="76"/>
  <c r="G29" i="76" s="1"/>
  <c r="G28" i="76"/>
  <c r="G27" i="76" s="1"/>
  <c r="H284" i="19"/>
  <c r="H282" i="19" s="1"/>
  <c r="G284" i="19"/>
  <c r="H280" i="19"/>
  <c r="G280" i="19"/>
  <c r="G278" i="19"/>
  <c r="G271" i="19"/>
  <c r="H265" i="19"/>
  <c r="H264" i="19" s="1"/>
  <c r="G265" i="19"/>
  <c r="G264" i="19" s="1"/>
  <c r="G257" i="19"/>
  <c r="H259" i="19"/>
  <c r="G259" i="19"/>
  <c r="G247" i="19"/>
  <c r="G250" i="19"/>
  <c r="H251" i="19"/>
  <c r="H250" i="19" s="1"/>
  <c r="H243" i="19"/>
  <c r="H242" i="19" s="1"/>
  <c r="G243" i="19"/>
  <c r="G242" i="19" s="1"/>
  <c r="H228" i="19"/>
  <c r="H227" i="19" s="1"/>
  <c r="G228" i="19"/>
  <c r="G227" i="19" s="1"/>
  <c r="G221" i="19"/>
  <c r="G136" i="19"/>
  <c r="G282" i="19" l="1"/>
  <c r="G283" i="19"/>
  <c r="G277" i="19"/>
  <c r="G217" i="19"/>
  <c r="G215" i="19"/>
  <c r="H196" i="19"/>
  <c r="H198" i="19"/>
  <c r="H202" i="19"/>
  <c r="G196" i="19"/>
  <c r="G198" i="19"/>
  <c r="G200" i="19"/>
  <c r="G202" i="19"/>
  <c r="H192" i="19"/>
  <c r="H191" i="19" s="1"/>
  <c r="G192" i="19"/>
  <c r="G191" i="19" s="1"/>
  <c r="H187" i="19"/>
  <c r="H186" i="19" s="1"/>
  <c r="H185" i="19" s="1"/>
  <c r="G187" i="19"/>
  <c r="H153" i="19"/>
  <c r="G153" i="19"/>
  <c r="H181" i="19"/>
  <c r="G179" i="19"/>
  <c r="G181" i="19"/>
  <c r="H173" i="19"/>
  <c r="G173" i="19"/>
  <c r="G167" i="19"/>
  <c r="H158" i="19"/>
  <c r="G158" i="19"/>
  <c r="G160" i="19"/>
  <c r="H149" i="19"/>
  <c r="H148" i="19" s="1"/>
  <c r="H147" i="19" s="1"/>
  <c r="G149" i="19"/>
  <c r="G148" i="19" s="1"/>
  <c r="H145" i="19"/>
  <c r="H144" i="19" s="1"/>
  <c r="G145" i="19"/>
  <c r="G144" i="19" s="1"/>
  <c r="G141" i="19"/>
  <c r="G139" i="19"/>
  <c r="G134" i="19"/>
  <c r="G128" i="19"/>
  <c r="H126" i="19"/>
  <c r="G126" i="19"/>
  <c r="G125" i="19" s="1"/>
  <c r="G110" i="19"/>
  <c r="H106" i="19"/>
  <c r="H105" i="19" s="1"/>
  <c r="H102" i="19"/>
  <c r="H101" i="19" s="1"/>
  <c r="H103" i="19"/>
  <c r="G103" i="19"/>
  <c r="G101" i="19"/>
  <c r="H95" i="19"/>
  <c r="H94" i="19" s="1"/>
  <c r="F19" i="17" s="1"/>
  <c r="G95" i="19"/>
  <c r="G94" i="19" s="1"/>
  <c r="D19" i="17" s="1"/>
  <c r="G92" i="19"/>
  <c r="H88" i="19"/>
  <c r="H87" i="19" s="1"/>
  <c r="H84" i="19"/>
  <c r="G84" i="19"/>
  <c r="H78" i="19"/>
  <c r="G80" i="19"/>
  <c r="H74" i="19"/>
  <c r="G74" i="19"/>
  <c r="H64" i="19"/>
  <c r="H63" i="19" s="1"/>
  <c r="H62" i="19" s="1"/>
  <c r="H61" i="19" s="1"/>
  <c r="G64" i="19"/>
  <c r="G63" i="19" s="1"/>
  <c r="G62" i="19" s="1"/>
  <c r="G61" i="19" s="1"/>
  <c r="G59" i="19"/>
  <c r="H42" i="19"/>
  <c r="H41" i="19" s="1"/>
  <c r="H49" i="19"/>
  <c r="H48" i="19" s="1"/>
  <c r="G45" i="19"/>
  <c r="H17" i="19"/>
  <c r="H21" i="19"/>
  <c r="G21" i="19"/>
  <c r="H25" i="19"/>
  <c r="H32" i="19"/>
  <c r="H31" i="19" s="1"/>
  <c r="H28" i="19"/>
  <c r="G25" i="19"/>
  <c r="G28" i="19"/>
  <c r="G32" i="19"/>
  <c r="G35" i="19"/>
  <c r="H397" i="19"/>
  <c r="H396" i="19" s="1"/>
  <c r="H395" i="19" s="1"/>
  <c r="G397" i="19"/>
  <c r="G396" i="19" s="1"/>
  <c r="G395" i="19" s="1"/>
  <c r="G384" i="19"/>
  <c r="H386" i="19"/>
  <c r="G386" i="19"/>
  <c r="G388" i="19"/>
  <c r="G390" i="19"/>
  <c r="G363" i="19"/>
  <c r="H365" i="19"/>
  <c r="G365" i="19"/>
  <c r="G369" i="19"/>
  <c r="H371" i="19"/>
  <c r="G371" i="19"/>
  <c r="G375" i="19"/>
  <c r="H339" i="19"/>
  <c r="G316" i="19"/>
  <c r="H318" i="19"/>
  <c r="G318" i="19"/>
  <c r="G325" i="19"/>
  <c r="G327" i="19"/>
  <c r="G329" i="19"/>
  <c r="G331" i="19"/>
  <c r="G333" i="19"/>
  <c r="H335" i="19"/>
  <c r="G335" i="19"/>
  <c r="G337" i="19"/>
  <c r="G339" i="19"/>
  <c r="G347" i="19"/>
  <c r="G299" i="19"/>
  <c r="G305" i="19"/>
  <c r="G195" i="19" l="1"/>
  <c r="G295" i="19"/>
  <c r="G294" i="19" s="1"/>
  <c r="G315" i="19"/>
  <c r="G100" i="19"/>
  <c r="G157" i="19"/>
  <c r="G156" i="19" s="1"/>
  <c r="G155" i="19" s="1"/>
  <c r="H100" i="19"/>
  <c r="H99" i="19"/>
  <c r="H98" i="19" s="1"/>
  <c r="G194" i="19"/>
  <c r="G380" i="19"/>
  <c r="G379" i="19" s="1"/>
  <c r="G214" i="19"/>
  <c r="G213" i="19" s="1"/>
  <c r="H82" i="19"/>
  <c r="H77" i="19" s="1"/>
  <c r="H27" i="19"/>
  <c r="G88" i="19"/>
  <c r="G87" i="19" s="1"/>
  <c r="G286" i="19"/>
  <c r="F14" i="17" l="1"/>
  <c r="E14" i="17"/>
  <c r="E48" i="65"/>
  <c r="G107" i="19"/>
  <c r="G17" i="19"/>
  <c r="G480" i="19"/>
  <c r="G479" i="19" s="1"/>
  <c r="H56" i="76"/>
  <c r="H315" i="60"/>
  <c r="H314" i="60" s="1"/>
  <c r="H285" i="60"/>
  <c r="H181" i="60"/>
  <c r="G181" i="60"/>
  <c r="I65" i="58"/>
  <c r="H65" i="58"/>
  <c r="H464" i="60"/>
  <c r="H458" i="60" s="1"/>
  <c r="H457" i="60" s="1"/>
  <c r="H286" i="60"/>
  <c r="G279" i="60"/>
  <c r="G97" i="77" s="1"/>
  <c r="G278" i="60"/>
  <c r="G96" i="77" s="1"/>
  <c r="H104" i="60"/>
  <c r="G104" i="60"/>
  <c r="G44" i="60"/>
  <c r="G475" i="19" l="1"/>
  <c r="D31" i="17" s="1"/>
  <c r="G95" i="77"/>
  <c r="G94" i="77" s="1"/>
  <c r="G93" i="77" s="1"/>
  <c r="G42" i="60"/>
  <c r="G41" i="60" s="1"/>
  <c r="G86" i="77"/>
  <c r="G84" i="77" s="1"/>
  <c r="G83" i="77" s="1"/>
  <c r="H103" i="60"/>
  <c r="H102" i="60" s="1"/>
  <c r="H46" i="77"/>
  <c r="G180" i="60"/>
  <c r="G177" i="60" s="1"/>
  <c r="G176" i="60" s="1"/>
  <c r="G34" i="77"/>
  <c r="G33" i="77" s="1"/>
  <c r="G294" i="60"/>
  <c r="G293" i="60" s="1"/>
  <c r="G292" i="60" s="1"/>
  <c r="G106" i="77"/>
  <c r="G105" i="77" s="1"/>
  <c r="H180" i="60"/>
  <c r="H177" i="60" s="1"/>
  <c r="H176" i="60" s="1"/>
  <c r="H34" i="77"/>
  <c r="H33" i="77" s="1"/>
  <c r="G103" i="60"/>
  <c r="G102" i="60" s="1"/>
  <c r="G95" i="60" s="1"/>
  <c r="G46" i="77"/>
  <c r="G277" i="60"/>
  <c r="G276" i="60" s="1"/>
  <c r="H284" i="60"/>
  <c r="G314" i="19"/>
  <c r="G153" i="76"/>
  <c r="G152" i="76" s="1"/>
  <c r="G151" i="76" s="1"/>
  <c r="G106" i="19"/>
  <c r="G105" i="19" s="1"/>
  <c r="G52" i="76"/>
  <c r="G50" i="76" s="1"/>
  <c r="G49" i="76" s="1"/>
  <c r="G42" i="19"/>
  <c r="G41" i="19" s="1"/>
  <c r="G124" i="76"/>
  <c r="G122" i="76" s="1"/>
  <c r="H171" i="60"/>
  <c r="H96" i="60"/>
  <c r="H95" i="60" s="1"/>
  <c r="G99" i="19"/>
  <c r="G98" i="19" s="1"/>
  <c r="E39" i="65"/>
  <c r="G170" i="60"/>
  <c r="G169" i="60" s="1"/>
  <c r="G171" i="60"/>
  <c r="G313" i="19" l="1"/>
  <c r="J150" i="76"/>
  <c r="G150" i="76"/>
  <c r="G104" i="77"/>
  <c r="G103" i="77" s="1"/>
  <c r="G92" i="77" s="1"/>
  <c r="G43" i="77"/>
  <c r="G42" i="77" s="1"/>
  <c r="G44" i="77"/>
  <c r="G24" i="77"/>
  <c r="G25" i="77"/>
  <c r="H25" i="77"/>
  <c r="H24" i="77"/>
  <c r="H44" i="77"/>
  <c r="H43" i="77"/>
  <c r="H42" i="77" s="1"/>
  <c r="H170" i="60"/>
  <c r="H169" i="60" s="1"/>
  <c r="H248" i="60"/>
  <c r="H247" i="60" s="1"/>
  <c r="G248" i="60"/>
  <c r="G247" i="60" s="1"/>
  <c r="G455" i="60"/>
  <c r="G345" i="60"/>
  <c r="G314" i="60"/>
  <c r="H288" i="60"/>
  <c r="H252" i="60"/>
  <c r="H251" i="60" s="1"/>
  <c r="H250" i="60" s="1"/>
  <c r="G252" i="60"/>
  <c r="G251" i="60"/>
  <c r="G250" i="60" s="1"/>
  <c r="H236" i="60"/>
  <c r="H74" i="77" s="1"/>
  <c r="H73" i="77" s="1"/>
  <c r="H67" i="77" s="1"/>
  <c r="H66" i="77" s="1"/>
  <c r="G234" i="60"/>
  <c r="H216" i="60"/>
  <c r="H214" i="60"/>
  <c r="G216" i="60"/>
  <c r="G214" i="60"/>
  <c r="H211" i="60"/>
  <c r="H210" i="60"/>
  <c r="G211" i="60"/>
  <c r="G210" i="60"/>
  <c r="K150" i="76" l="1"/>
  <c r="G233" i="60"/>
  <c r="G232" i="60" s="1"/>
  <c r="G72" i="77"/>
  <c r="G67" i="77" s="1"/>
  <c r="G66" i="77" s="1"/>
  <c r="H287" i="60"/>
  <c r="H235" i="60"/>
  <c r="H233" i="60" s="1"/>
  <c r="H232" i="60" s="1"/>
  <c r="G213" i="60"/>
  <c r="H213" i="60"/>
  <c r="H209" i="60"/>
  <c r="G209" i="60"/>
  <c r="H340" i="60"/>
  <c r="H143" i="60"/>
  <c r="H142" i="60" s="1"/>
  <c r="G143" i="60"/>
  <c r="G142" i="60" s="1"/>
  <c r="G219" i="60"/>
  <c r="D42" i="65" s="1"/>
  <c r="H219" i="60"/>
  <c r="F42" i="65" s="1"/>
  <c r="G224" i="60"/>
  <c r="D43" i="65" s="1"/>
  <c r="H224" i="60"/>
  <c r="F43" i="65" s="1"/>
  <c r="G193" i="77" l="1"/>
  <c r="H339" i="60"/>
  <c r="H132" i="77"/>
  <c r="H131" i="77" s="1"/>
  <c r="H126" i="77" s="1"/>
  <c r="H125" i="77" s="1"/>
  <c r="H92" i="77" s="1"/>
  <c r="H193" i="77" s="1"/>
  <c r="G231" i="60"/>
  <c r="H345" i="60"/>
  <c r="H231" i="60"/>
  <c r="H283" i="60"/>
  <c r="H116" i="60"/>
  <c r="G116" i="60"/>
  <c r="H115" i="60"/>
  <c r="G115" i="60"/>
  <c r="H112" i="60"/>
  <c r="G112" i="60"/>
  <c r="H111" i="60"/>
  <c r="G111" i="60"/>
  <c r="H110" i="60"/>
  <c r="G110" i="60"/>
  <c r="H59" i="60"/>
  <c r="H58" i="60" s="1"/>
  <c r="H54" i="60" s="1"/>
  <c r="G218" i="60" l="1"/>
  <c r="D44" i="65"/>
  <c r="D41" i="65" s="1"/>
  <c r="H218" i="60"/>
  <c r="F44" i="65"/>
  <c r="F41" i="65" s="1"/>
  <c r="G114" i="60"/>
  <c r="H114" i="60"/>
  <c r="G109" i="60"/>
  <c r="H109" i="60"/>
  <c r="H24" i="60"/>
  <c r="H31" i="60"/>
  <c r="H27" i="60" s="1"/>
  <c r="G94" i="60" l="1"/>
  <c r="D18" i="65" s="1"/>
  <c r="H94" i="60"/>
  <c r="F18" i="65" s="1"/>
  <c r="H235" i="76" l="1"/>
  <c r="H210" i="76"/>
  <c r="H214" i="76"/>
  <c r="H62" i="76"/>
  <c r="H472" i="19"/>
  <c r="H471" i="19" s="1"/>
  <c r="H207" i="19" l="1"/>
  <c r="F44" i="17" s="1"/>
  <c r="G209" i="19"/>
  <c r="G208" i="19" l="1"/>
  <c r="G207" i="19" s="1"/>
  <c r="D44" i="17" s="1"/>
  <c r="H274" i="19"/>
  <c r="H273" i="19" s="1"/>
  <c r="H270" i="19"/>
  <c r="H269" i="19" s="1"/>
  <c r="G270" i="19"/>
  <c r="G458" i="19" l="1"/>
  <c r="G457" i="19" l="1"/>
  <c r="G456" i="19" s="1"/>
  <c r="G95" i="76"/>
  <c r="G49" i="19"/>
  <c r="G183" i="19"/>
  <c r="G368" i="19"/>
  <c r="G367" i="19" l="1"/>
  <c r="G362" i="19"/>
  <c r="G361" i="19" s="1"/>
  <c r="G139" i="76"/>
  <c r="G137" i="76" s="1"/>
  <c r="G136" i="76" s="1"/>
  <c r="G189" i="76"/>
  <c r="G188" i="76" s="1"/>
  <c r="G178" i="19"/>
  <c r="G177" i="19" s="1"/>
  <c r="J25" i="76" s="1"/>
  <c r="G31" i="76"/>
  <c r="G26" i="76" s="1"/>
  <c r="G25" i="76" s="1"/>
  <c r="H334" i="19"/>
  <c r="H333" i="19" s="1"/>
  <c r="G234" i="19"/>
  <c r="G116" i="19"/>
  <c r="H306" i="19"/>
  <c r="H305" i="19" s="1"/>
  <c r="H376" i="19"/>
  <c r="H375" i="19" s="1"/>
  <c r="H348" i="19"/>
  <c r="H347" i="19" s="1"/>
  <c r="K25" i="76" l="1"/>
  <c r="K26" i="76" s="1"/>
  <c r="G235" i="19"/>
  <c r="G231" i="19"/>
  <c r="G119" i="19"/>
  <c r="G114" i="19"/>
  <c r="I185" i="76"/>
  <c r="I184" i="76" s="1"/>
  <c r="G97" i="19" l="1"/>
  <c r="I201" i="76"/>
  <c r="I200" i="76" s="1"/>
  <c r="G445" i="19" l="1"/>
  <c r="I273" i="76"/>
  <c r="I272" i="76" s="1"/>
  <c r="G265" i="76"/>
  <c r="G264" i="76" s="1"/>
  <c r="G263" i="76" s="1"/>
  <c r="G274" i="19"/>
  <c r="G273" i="19" s="1"/>
  <c r="G256" i="19"/>
  <c r="G444" i="19" l="1"/>
  <c r="G275" i="76"/>
  <c r="G255" i="19"/>
  <c r="G254" i="19" s="1"/>
  <c r="G82" i="76"/>
  <c r="G273" i="76"/>
  <c r="G272" i="76" l="1"/>
  <c r="I118" i="76"/>
  <c r="I117" i="76" s="1"/>
  <c r="H453" i="19" l="1"/>
  <c r="H452" i="19" l="1"/>
  <c r="H450" i="19"/>
  <c r="H449" i="19" s="1"/>
  <c r="I110" i="76" l="1"/>
  <c r="I109" i="76" s="1"/>
  <c r="E63" i="58" l="1"/>
  <c r="D63" i="58"/>
  <c r="H23" i="57" l="1"/>
  <c r="I23" i="57"/>
  <c r="J23" i="57"/>
  <c r="G23" i="57"/>
  <c r="E23" i="43"/>
  <c r="F23" i="43"/>
  <c r="G23" i="43"/>
  <c r="D23" i="43"/>
  <c r="F90" i="15"/>
  <c r="F91" i="15"/>
  <c r="E87" i="15"/>
  <c r="J470" i="19"/>
  <c r="J468" i="19" l="1"/>
  <c r="F94" i="15" l="1"/>
  <c r="D77" i="15" l="1"/>
  <c r="F86" i="15"/>
  <c r="I38" i="58" l="1"/>
  <c r="I39" i="58"/>
  <c r="I36" i="58"/>
  <c r="I37" i="58"/>
  <c r="I33" i="58"/>
  <c r="I34" i="58"/>
  <c r="I35" i="58"/>
  <c r="I32" i="58"/>
  <c r="H32" i="58"/>
  <c r="H33" i="58"/>
  <c r="H34" i="58"/>
  <c r="H35" i="58"/>
  <c r="H36" i="58"/>
  <c r="H37" i="58"/>
  <c r="H38" i="58"/>
  <c r="H39" i="58"/>
  <c r="G139" i="60" l="1"/>
  <c r="H139" i="60"/>
  <c r="H258" i="19" l="1"/>
  <c r="H257" i="19" s="1"/>
  <c r="H255" i="19" s="1"/>
  <c r="H254" i="19" s="1"/>
  <c r="H253" i="19" s="1"/>
  <c r="F50" i="17" s="1"/>
  <c r="G92" i="76" l="1"/>
  <c r="G91" i="76" s="1"/>
  <c r="G90" i="76" l="1"/>
  <c r="G88" i="76"/>
  <c r="G87" i="76" s="1"/>
  <c r="F39" i="15"/>
  <c r="H332" i="19" l="1"/>
  <c r="H331" i="19" s="1"/>
  <c r="F99" i="15"/>
  <c r="D95" i="15"/>
  <c r="D87" i="15"/>
  <c r="D53" i="15"/>
  <c r="F83" i="15"/>
  <c r="F82" i="15"/>
  <c r="F48" i="15"/>
  <c r="F77" i="15" l="1"/>
  <c r="I173" i="76"/>
  <c r="I172" i="76" s="1"/>
  <c r="F89" i="15"/>
  <c r="F32" i="15"/>
  <c r="F42" i="15"/>
  <c r="F20" i="15"/>
  <c r="F43" i="15"/>
  <c r="F46" i="15"/>
  <c r="E95" i="15"/>
  <c r="E12" i="15" s="1"/>
  <c r="F87" i="15" l="1"/>
  <c r="E60" i="66"/>
  <c r="C60" i="66"/>
  <c r="E36" i="66"/>
  <c r="C36" i="66"/>
  <c r="C55" i="29"/>
  <c r="C33" i="29"/>
  <c r="G271" i="76"/>
  <c r="H216" i="76"/>
  <c r="H208" i="76" s="1"/>
  <c r="I206" i="76"/>
  <c r="I205" i="76" s="1"/>
  <c r="I204" i="76" s="1"/>
  <c r="G206" i="76"/>
  <c r="G195" i="76"/>
  <c r="I129" i="76"/>
  <c r="I128" i="76" s="1"/>
  <c r="G129" i="76"/>
  <c r="I124" i="76"/>
  <c r="I122" i="76" s="1"/>
  <c r="H124" i="76"/>
  <c r="H122" i="76" s="1"/>
  <c r="H121" i="76" s="1"/>
  <c r="I104" i="76"/>
  <c r="I103" i="76" s="1"/>
  <c r="G81" i="76"/>
  <c r="I75" i="76"/>
  <c r="H70" i="76"/>
  <c r="H69" i="76" s="1"/>
  <c r="H68" i="76"/>
  <c r="H67" i="76" s="1"/>
  <c r="G64" i="76"/>
  <c r="G63" i="76" s="1"/>
  <c r="H61" i="76"/>
  <c r="I46" i="76"/>
  <c r="I45" i="76" s="1"/>
  <c r="H31" i="76"/>
  <c r="D16" i="61"/>
  <c r="C16" i="61"/>
  <c r="D14" i="61"/>
  <c r="C14" i="61"/>
  <c r="C20" i="21"/>
  <c r="C17" i="21"/>
  <c r="C15" i="21" s="1"/>
  <c r="H454" i="60"/>
  <c r="H446" i="60" s="1"/>
  <c r="G454" i="60"/>
  <c r="G388" i="60"/>
  <c r="G387" i="60" s="1"/>
  <c r="G386" i="60" s="1"/>
  <c r="G385" i="60" s="1"/>
  <c r="H379" i="60"/>
  <c r="H378" i="60" s="1"/>
  <c r="H377" i="60" s="1"/>
  <c r="F34" i="65" s="1"/>
  <c r="H256" i="60"/>
  <c r="H255" i="60" s="1"/>
  <c r="H254" i="60" s="1"/>
  <c r="H246" i="60" s="1"/>
  <c r="G256" i="60"/>
  <c r="J194" i="60"/>
  <c r="H156" i="60"/>
  <c r="H155" i="60" s="1"/>
  <c r="F28" i="65" s="1"/>
  <c r="F27" i="65" s="1"/>
  <c r="J114" i="60"/>
  <c r="H80" i="60"/>
  <c r="H79" i="60" s="1"/>
  <c r="G80" i="60"/>
  <c r="G79" i="60" s="1"/>
  <c r="H70" i="60"/>
  <c r="F12" i="65" s="1"/>
  <c r="G70" i="60"/>
  <c r="D12" i="65" s="1"/>
  <c r="H63" i="60"/>
  <c r="J57" i="60"/>
  <c r="I57" i="60"/>
  <c r="H468" i="19"/>
  <c r="H467" i="19" s="1"/>
  <c r="G105" i="76"/>
  <c r="G102" i="76"/>
  <c r="H460" i="19"/>
  <c r="G97" i="76"/>
  <c r="G96" i="76" s="1"/>
  <c r="H447" i="19"/>
  <c r="H446" i="19" s="1"/>
  <c r="H437" i="19"/>
  <c r="H425" i="19"/>
  <c r="H424" i="19"/>
  <c r="H422" i="19"/>
  <c r="H421" i="19"/>
  <c r="H419" i="19"/>
  <c r="H418" i="19"/>
  <c r="H405" i="19"/>
  <c r="G405" i="19"/>
  <c r="G404" i="19" s="1"/>
  <c r="H393" i="19"/>
  <c r="H392" i="19"/>
  <c r="H391" i="19"/>
  <c r="H389" i="19"/>
  <c r="H388" i="19" s="1"/>
  <c r="H370" i="19"/>
  <c r="H369" i="19" s="1"/>
  <c r="H364" i="19"/>
  <c r="H363" i="19" s="1"/>
  <c r="H338" i="19"/>
  <c r="H337" i="19" s="1"/>
  <c r="H330" i="19"/>
  <c r="H329" i="19" s="1"/>
  <c r="H328" i="19"/>
  <c r="H327" i="19" s="1"/>
  <c r="H326" i="19"/>
  <c r="H325" i="19" s="1"/>
  <c r="H317" i="19"/>
  <c r="H316" i="19" s="1"/>
  <c r="H301" i="19"/>
  <c r="J139" i="76"/>
  <c r="G269" i="19"/>
  <c r="H249" i="19"/>
  <c r="H248" i="19"/>
  <c r="H241" i="19"/>
  <c r="F48" i="17" s="1"/>
  <c r="H239" i="19"/>
  <c r="H238" i="19"/>
  <c r="H237" i="19"/>
  <c r="H236" i="19"/>
  <c r="H234" i="19"/>
  <c r="H233" i="19"/>
  <c r="H232" i="19"/>
  <c r="H223" i="19"/>
  <c r="H222" i="19"/>
  <c r="H172" i="19"/>
  <c r="H171" i="19" s="1"/>
  <c r="H168" i="19"/>
  <c r="H161" i="19"/>
  <c r="G67" i="76"/>
  <c r="H152" i="19"/>
  <c r="H143" i="19"/>
  <c r="H142" i="19"/>
  <c r="H138" i="19"/>
  <c r="H122" i="19"/>
  <c r="H121" i="19"/>
  <c r="H118" i="19"/>
  <c r="H117" i="19"/>
  <c r="H116" i="19"/>
  <c r="H113" i="19"/>
  <c r="H112" i="19"/>
  <c r="H93" i="19"/>
  <c r="G91" i="19"/>
  <c r="D15" i="17" s="1"/>
  <c r="G83" i="19"/>
  <c r="H73" i="19"/>
  <c r="H72" i="19" s="1"/>
  <c r="H60" i="19"/>
  <c r="H59" i="19" s="1"/>
  <c r="H24" i="19"/>
  <c r="E57" i="65"/>
  <c r="E49" i="65"/>
  <c r="E46" i="65"/>
  <c r="E45" i="65" s="1"/>
  <c r="E38" i="65"/>
  <c r="E36" i="65"/>
  <c r="E35" i="65" s="1"/>
  <c r="E34" i="65"/>
  <c r="E27" i="65"/>
  <c r="E20" i="65"/>
  <c r="E19" i="65" s="1"/>
  <c r="E17" i="65"/>
  <c r="E15" i="65"/>
  <c r="E12" i="65"/>
  <c r="E66" i="17"/>
  <c r="E56" i="17"/>
  <c r="E52" i="17"/>
  <c r="E51" i="17" s="1"/>
  <c r="E48" i="17"/>
  <c r="E47" i="17" s="1"/>
  <c r="E35" i="17"/>
  <c r="E34" i="17" s="1"/>
  <c r="E27" i="17"/>
  <c r="D24" i="17"/>
  <c r="D23" i="17" s="1"/>
  <c r="E22" i="17"/>
  <c r="E21" i="17" s="1"/>
  <c r="E19" i="17"/>
  <c r="D18" i="17"/>
  <c r="D17" i="17" s="1"/>
  <c r="Y88" i="58"/>
  <c r="Z88" i="58" s="1"/>
  <c r="X88" i="58"/>
  <c r="W88" i="58"/>
  <c r="V88" i="58"/>
  <c r="Q88" i="58"/>
  <c r="P88" i="58"/>
  <c r="O88" i="58"/>
  <c r="N88" i="58"/>
  <c r="Z86" i="58"/>
  <c r="R86" i="58"/>
  <c r="Z85" i="58"/>
  <c r="R85" i="58"/>
  <c r="Z84" i="58"/>
  <c r="R84" i="58"/>
  <c r="Z83" i="58"/>
  <c r="R83" i="58"/>
  <c r="Z82" i="58"/>
  <c r="R82" i="58"/>
  <c r="Z81" i="58"/>
  <c r="R81" i="58"/>
  <c r="Z80" i="58"/>
  <c r="R80" i="58"/>
  <c r="Z79" i="58"/>
  <c r="R79" i="58"/>
  <c r="Z78" i="58"/>
  <c r="R78" i="58"/>
  <c r="Z77" i="58"/>
  <c r="R77" i="58"/>
  <c r="Z76" i="58"/>
  <c r="R76" i="58"/>
  <c r="Z75" i="58"/>
  <c r="R75" i="58"/>
  <c r="Z74" i="58"/>
  <c r="R74" i="58"/>
  <c r="Z73" i="58"/>
  <c r="R73" i="58"/>
  <c r="Z72" i="58"/>
  <c r="R72" i="58"/>
  <c r="Z71" i="58"/>
  <c r="R71" i="58"/>
  <c r="I64" i="58"/>
  <c r="H64" i="58"/>
  <c r="I63" i="58"/>
  <c r="H63" i="58"/>
  <c r="I62" i="58"/>
  <c r="H62" i="58"/>
  <c r="I61" i="58"/>
  <c r="H61" i="58"/>
  <c r="I60" i="58"/>
  <c r="H60" i="58"/>
  <c r="I58" i="58"/>
  <c r="H58" i="58"/>
  <c r="I57" i="58"/>
  <c r="H57" i="58"/>
  <c r="I56" i="58"/>
  <c r="H56" i="58"/>
  <c r="I55" i="58"/>
  <c r="H55" i="58"/>
  <c r="I54" i="58"/>
  <c r="H54" i="58"/>
  <c r="I53" i="58"/>
  <c r="H53" i="58"/>
  <c r="I52" i="58"/>
  <c r="H52" i="58"/>
  <c r="I51" i="58"/>
  <c r="H51" i="58"/>
  <c r="I50" i="58"/>
  <c r="H50" i="58"/>
  <c r="I49" i="58"/>
  <c r="H49" i="58"/>
  <c r="I48" i="58"/>
  <c r="H48" i="58"/>
  <c r="I47" i="58"/>
  <c r="H47" i="58"/>
  <c r="I46" i="58"/>
  <c r="H46" i="58"/>
  <c r="I45" i="58"/>
  <c r="H45" i="58"/>
  <c r="I44" i="58"/>
  <c r="H44" i="58"/>
  <c r="I43" i="58"/>
  <c r="H43" i="58"/>
  <c r="I42" i="58"/>
  <c r="H42" i="58"/>
  <c r="I41" i="58"/>
  <c r="H41" i="58"/>
  <c r="E40" i="58"/>
  <c r="I40" i="58" s="1"/>
  <c r="D40" i="58"/>
  <c r="H40" i="58" s="1"/>
  <c r="I31" i="58"/>
  <c r="H31" i="58"/>
  <c r="I30" i="58"/>
  <c r="H30" i="58"/>
  <c r="I27" i="58"/>
  <c r="H27" i="58"/>
  <c r="I26" i="58"/>
  <c r="H26" i="58"/>
  <c r="I24" i="58"/>
  <c r="H24" i="58"/>
  <c r="I23" i="58"/>
  <c r="H23" i="58"/>
  <c r="I22" i="58"/>
  <c r="H22" i="58"/>
  <c r="I21" i="58"/>
  <c r="H21" i="58"/>
  <c r="I20" i="58"/>
  <c r="H20" i="58"/>
  <c r="I19" i="58"/>
  <c r="H19" i="58"/>
  <c r="I18" i="58"/>
  <c r="H18" i="58"/>
  <c r="I17" i="58"/>
  <c r="H17" i="58"/>
  <c r="E16" i="58"/>
  <c r="I16" i="58" s="1"/>
  <c r="D16" i="58"/>
  <c r="H16" i="58" s="1"/>
  <c r="I15" i="58"/>
  <c r="H15" i="58"/>
  <c r="I14" i="58"/>
  <c r="H14" i="58"/>
  <c r="E13" i="58"/>
  <c r="I13" i="58" s="1"/>
  <c r="D13" i="58"/>
  <c r="H13" i="58" s="1"/>
  <c r="M143" i="15"/>
  <c r="L143" i="15"/>
  <c r="K143" i="15"/>
  <c r="J143" i="15"/>
  <c r="N141" i="15"/>
  <c r="N140" i="15"/>
  <c r="N139" i="15"/>
  <c r="N138" i="15"/>
  <c r="N137" i="15"/>
  <c r="N136" i="15"/>
  <c r="N135" i="15"/>
  <c r="N134" i="15"/>
  <c r="N133" i="15"/>
  <c r="N132" i="15"/>
  <c r="N131" i="15"/>
  <c r="N130" i="15"/>
  <c r="N129" i="15"/>
  <c r="N128" i="15"/>
  <c r="F104" i="15"/>
  <c r="N127" i="15"/>
  <c r="F103" i="15"/>
  <c r="N126" i="15"/>
  <c r="F102" i="15"/>
  <c r="F101" i="15"/>
  <c r="F100" i="15"/>
  <c r="F98" i="15"/>
  <c r="F97" i="15"/>
  <c r="F96" i="15"/>
  <c r="F95" i="15"/>
  <c r="F93" i="15"/>
  <c r="F92" i="15"/>
  <c r="F88" i="15"/>
  <c r="F85" i="15"/>
  <c r="F84" i="15"/>
  <c r="F81" i="15"/>
  <c r="F80" i="15"/>
  <c r="F78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59" i="15"/>
  <c r="F58" i="15"/>
  <c r="F57" i="15"/>
  <c r="F56" i="15"/>
  <c r="F55" i="15"/>
  <c r="F54" i="15"/>
  <c r="F53" i="15"/>
  <c r="F47" i="15"/>
  <c r="F45" i="15"/>
  <c r="F44" i="15"/>
  <c r="F41" i="15"/>
  <c r="F38" i="15"/>
  <c r="F37" i="15"/>
  <c r="F36" i="15"/>
  <c r="F35" i="15"/>
  <c r="F34" i="15"/>
  <c r="F33" i="15"/>
  <c r="F31" i="15"/>
  <c r="F30" i="15"/>
  <c r="F29" i="15"/>
  <c r="F28" i="15"/>
  <c r="F27" i="15"/>
  <c r="F26" i="15"/>
  <c r="F25" i="15"/>
  <c r="F24" i="15"/>
  <c r="F23" i="15"/>
  <c r="F22" i="15"/>
  <c r="F21" i="15"/>
  <c r="F19" i="15"/>
  <c r="F16" i="15"/>
  <c r="F15" i="15"/>
  <c r="F14" i="15"/>
  <c r="D13" i="15"/>
  <c r="L54" i="57"/>
  <c r="K54" i="57"/>
  <c r="L58" i="57"/>
  <c r="K58" i="57"/>
  <c r="F53" i="57"/>
  <c r="J57" i="57"/>
  <c r="I57" i="57"/>
  <c r="H57" i="57"/>
  <c r="G57" i="57"/>
  <c r="E52" i="57"/>
  <c r="D52" i="57"/>
  <c r="L51" i="57"/>
  <c r="K51" i="57"/>
  <c r="L50" i="57"/>
  <c r="K50" i="57"/>
  <c r="L49" i="57"/>
  <c r="K49" i="57"/>
  <c r="L48" i="57"/>
  <c r="K48" i="57"/>
  <c r="L47" i="57"/>
  <c r="K47" i="57"/>
  <c r="L46" i="57"/>
  <c r="K46" i="57"/>
  <c r="L45" i="57"/>
  <c r="K45" i="57"/>
  <c r="F45" i="57"/>
  <c r="L44" i="57"/>
  <c r="K44" i="57"/>
  <c r="L43" i="57"/>
  <c r="K43" i="57"/>
  <c r="J42" i="57"/>
  <c r="I42" i="57"/>
  <c r="E42" i="57"/>
  <c r="D42" i="57"/>
  <c r="L41" i="57"/>
  <c r="K41" i="57"/>
  <c r="F41" i="57"/>
  <c r="L40" i="57"/>
  <c r="K40" i="57"/>
  <c r="L39" i="57"/>
  <c r="K39" i="57"/>
  <c r="F39" i="57"/>
  <c r="J38" i="57"/>
  <c r="I38" i="57"/>
  <c r="H38" i="57"/>
  <c r="G38" i="57"/>
  <c r="E38" i="57"/>
  <c r="D38" i="57"/>
  <c r="L37" i="57"/>
  <c r="K37" i="57"/>
  <c r="L36" i="57"/>
  <c r="K36" i="57"/>
  <c r="L35" i="57"/>
  <c r="K35" i="57"/>
  <c r="L34" i="57"/>
  <c r="K34" i="57"/>
  <c r="F34" i="57"/>
  <c r="F33" i="57" s="1"/>
  <c r="J33" i="57"/>
  <c r="I33" i="57"/>
  <c r="H33" i="57"/>
  <c r="G33" i="57"/>
  <c r="E33" i="57"/>
  <c r="D33" i="57"/>
  <c r="L32" i="57"/>
  <c r="K32" i="57"/>
  <c r="L31" i="57"/>
  <c r="K31" i="57"/>
  <c r="L30" i="57"/>
  <c r="K30" i="57"/>
  <c r="F30" i="57"/>
  <c r="F29" i="57" s="1"/>
  <c r="J29" i="57"/>
  <c r="I29" i="57"/>
  <c r="H29" i="57"/>
  <c r="G29" i="57"/>
  <c r="E29" i="57"/>
  <c r="D29" i="57"/>
  <c r="L28" i="57"/>
  <c r="K28" i="57"/>
  <c r="J27" i="57"/>
  <c r="I27" i="57"/>
  <c r="H27" i="57"/>
  <c r="G27" i="57"/>
  <c r="F27" i="57"/>
  <c r="E27" i="57"/>
  <c r="D27" i="57"/>
  <c r="L26" i="57"/>
  <c r="K26" i="57"/>
  <c r="L25" i="57"/>
  <c r="K25" i="57"/>
  <c r="L24" i="57"/>
  <c r="K24" i="57"/>
  <c r="L23" i="57"/>
  <c r="K23" i="57"/>
  <c r="F23" i="57"/>
  <c r="E23" i="57"/>
  <c r="D23" i="57"/>
  <c r="L22" i="57"/>
  <c r="K22" i="57"/>
  <c r="L21" i="57"/>
  <c r="K21" i="57"/>
  <c r="L20" i="57"/>
  <c r="K20" i="57"/>
  <c r="L19" i="57"/>
  <c r="K19" i="57"/>
  <c r="J18" i="57"/>
  <c r="I18" i="57"/>
  <c r="H18" i="57"/>
  <c r="G18" i="57"/>
  <c r="F18" i="57"/>
  <c r="E18" i="57"/>
  <c r="D18" i="57"/>
  <c r="L17" i="57"/>
  <c r="K17" i="57"/>
  <c r="L16" i="57"/>
  <c r="K16" i="57"/>
  <c r="L15" i="57"/>
  <c r="K15" i="57"/>
  <c r="L14" i="57"/>
  <c r="K14" i="57"/>
  <c r="H13" i="57"/>
  <c r="L13" i="57" s="1"/>
  <c r="G13" i="57"/>
  <c r="K13" i="57" s="1"/>
  <c r="E13" i="57"/>
  <c r="D13" i="57"/>
  <c r="D12" i="57" s="1"/>
  <c r="D11" i="57" s="1"/>
  <c r="J12" i="57"/>
  <c r="I12" i="57"/>
  <c r="F12" i="57"/>
  <c r="E12" i="57"/>
  <c r="E11" i="57" s="1"/>
  <c r="H58" i="43"/>
  <c r="G57" i="43"/>
  <c r="F57" i="43"/>
  <c r="E57" i="43"/>
  <c r="D57" i="43"/>
  <c r="H51" i="43"/>
  <c r="H50" i="43"/>
  <c r="H49" i="43"/>
  <c r="H48" i="43"/>
  <c r="H47" i="43"/>
  <c r="H46" i="43"/>
  <c r="H45" i="43"/>
  <c r="H44" i="43"/>
  <c r="H43" i="43"/>
  <c r="G42" i="43"/>
  <c r="F42" i="43"/>
  <c r="E42" i="43"/>
  <c r="H41" i="43"/>
  <c r="H40" i="43"/>
  <c r="H39" i="43"/>
  <c r="G38" i="43"/>
  <c r="F38" i="43"/>
  <c r="E38" i="43"/>
  <c r="D38" i="43"/>
  <c r="H37" i="43"/>
  <c r="H36" i="43"/>
  <c r="F36" i="43"/>
  <c r="H35" i="43"/>
  <c r="H34" i="43"/>
  <c r="G33" i="43"/>
  <c r="F33" i="43"/>
  <c r="E33" i="43"/>
  <c r="D33" i="43"/>
  <c r="H32" i="43"/>
  <c r="H31" i="43"/>
  <c r="H30" i="43"/>
  <c r="F30" i="43"/>
  <c r="F29" i="43" s="1"/>
  <c r="G29" i="43"/>
  <c r="E29" i="43"/>
  <c r="D29" i="43"/>
  <c r="H28" i="43"/>
  <c r="G27" i="43"/>
  <c r="F27" i="43"/>
  <c r="E27" i="43"/>
  <c r="D27" i="43"/>
  <c r="H26" i="43"/>
  <c r="H25" i="43"/>
  <c r="H24" i="43"/>
  <c r="H22" i="43"/>
  <c r="H21" i="43"/>
  <c r="H20" i="43"/>
  <c r="F20" i="43"/>
  <c r="E20" i="43"/>
  <c r="H19" i="43"/>
  <c r="F19" i="43"/>
  <c r="E19" i="43"/>
  <c r="G18" i="43"/>
  <c r="D18" i="43"/>
  <c r="H17" i="43"/>
  <c r="H16" i="43"/>
  <c r="H15" i="43"/>
  <c r="H14" i="43"/>
  <c r="G13" i="43"/>
  <c r="G12" i="43" s="1"/>
  <c r="F13" i="43"/>
  <c r="F12" i="43" s="1"/>
  <c r="E13" i="43"/>
  <c r="E12" i="43" s="1"/>
  <c r="D13" i="43"/>
  <c r="R88" i="58" l="1"/>
  <c r="K18" i="57"/>
  <c r="H66" i="76"/>
  <c r="H65" i="76" s="1"/>
  <c r="H315" i="19"/>
  <c r="J151" i="76" s="1"/>
  <c r="H362" i="19"/>
  <c r="H361" i="19" s="1"/>
  <c r="H360" i="19" s="1"/>
  <c r="H359" i="19" s="1"/>
  <c r="J186" i="76" s="1"/>
  <c r="I11" i="57"/>
  <c r="K38" i="57"/>
  <c r="K33" i="57"/>
  <c r="L38" i="57"/>
  <c r="L57" i="57"/>
  <c r="F18" i="43"/>
  <c r="F11" i="43" s="1"/>
  <c r="E12" i="17"/>
  <c r="F12" i="17"/>
  <c r="H170" i="19"/>
  <c r="F33" i="17"/>
  <c r="F32" i="17" s="1"/>
  <c r="H25" i="76"/>
  <c r="H26" i="76"/>
  <c r="G255" i="60"/>
  <c r="G254" i="60" s="1"/>
  <c r="G246" i="60" s="1"/>
  <c r="G54" i="60"/>
  <c r="G53" i="60" s="1"/>
  <c r="D48" i="65" s="1"/>
  <c r="G93" i="76"/>
  <c r="G94" i="76"/>
  <c r="G78" i="76"/>
  <c r="G79" i="76"/>
  <c r="J67" i="76"/>
  <c r="J271" i="76"/>
  <c r="G270" i="76"/>
  <c r="H417" i="19"/>
  <c r="I203" i="76"/>
  <c r="I202" i="76" s="1"/>
  <c r="G202" i="76"/>
  <c r="I195" i="76"/>
  <c r="I194" i="76" s="1"/>
  <c r="G194" i="76"/>
  <c r="J64" i="76"/>
  <c r="G62" i="76"/>
  <c r="H420" i="19"/>
  <c r="H423" i="19"/>
  <c r="H466" i="19"/>
  <c r="H465" i="19" s="1"/>
  <c r="H457" i="19"/>
  <c r="H456" i="19" s="1"/>
  <c r="H448" i="19" s="1"/>
  <c r="H459" i="19"/>
  <c r="H235" i="19"/>
  <c r="H231" i="19"/>
  <c r="H247" i="19"/>
  <c r="H246" i="19" s="1"/>
  <c r="F49" i="17" s="1"/>
  <c r="F47" i="17" s="1"/>
  <c r="H221" i="19"/>
  <c r="H220" i="19" s="1"/>
  <c r="H219" i="19" s="1"/>
  <c r="H160" i="19"/>
  <c r="H157" i="19" s="1"/>
  <c r="H156" i="19" s="1"/>
  <c r="H141" i="19"/>
  <c r="H92" i="19"/>
  <c r="H91" i="19" s="1"/>
  <c r="H125" i="19"/>
  <c r="H124" i="19" s="1"/>
  <c r="H57" i="19"/>
  <c r="H56" i="19" s="1"/>
  <c r="F56" i="17" s="1"/>
  <c r="H58" i="19"/>
  <c r="H390" i="19"/>
  <c r="J11" i="57"/>
  <c r="F11" i="57"/>
  <c r="H57" i="43"/>
  <c r="K27" i="57"/>
  <c r="H245" i="60"/>
  <c r="G276" i="19"/>
  <c r="E22" i="65"/>
  <c r="E26" i="65"/>
  <c r="E25" i="65" s="1"/>
  <c r="E24" i="65"/>
  <c r="G147" i="19"/>
  <c r="H48" i="60"/>
  <c r="G24" i="60"/>
  <c r="G48" i="60"/>
  <c r="E14" i="65"/>
  <c r="G151" i="60"/>
  <c r="G150" i="60" s="1"/>
  <c r="G192" i="60"/>
  <c r="G191" i="60" s="1"/>
  <c r="G190" i="60" s="1"/>
  <c r="H200" i="60"/>
  <c r="J182" i="60"/>
  <c r="H242" i="60"/>
  <c r="H241" i="60" s="1"/>
  <c r="H240" i="60" s="1"/>
  <c r="I182" i="60"/>
  <c r="G242" i="60"/>
  <c r="G241" i="60" s="1"/>
  <c r="G240" i="60" s="1"/>
  <c r="H151" i="60"/>
  <c r="H150" i="60" s="1"/>
  <c r="H192" i="60"/>
  <c r="H191" i="60" s="1"/>
  <c r="H190" i="60" s="1"/>
  <c r="H466" i="60"/>
  <c r="F26" i="65" s="1"/>
  <c r="G279" i="76"/>
  <c r="G278" i="76" s="1"/>
  <c r="G156" i="60"/>
  <c r="G155" i="60" s="1"/>
  <c r="D28" i="65" s="1"/>
  <c r="D27" i="65" s="1"/>
  <c r="J105" i="60"/>
  <c r="G88" i="60"/>
  <c r="D15" i="65" s="1"/>
  <c r="I105" i="60"/>
  <c r="J213" i="60"/>
  <c r="G268" i="19"/>
  <c r="J237" i="76"/>
  <c r="H48" i="76"/>
  <c r="I175" i="76"/>
  <c r="I174" i="76" s="1"/>
  <c r="H443" i="19"/>
  <c r="H442" i="19" s="1"/>
  <c r="F27" i="17" s="1"/>
  <c r="I114" i="76"/>
  <c r="I113" i="76" s="1"/>
  <c r="D12" i="15"/>
  <c r="L33" i="57"/>
  <c r="L29" i="57"/>
  <c r="L18" i="57"/>
  <c r="L27" i="57"/>
  <c r="K29" i="57"/>
  <c r="L42" i="57"/>
  <c r="K57" i="57"/>
  <c r="H12" i="57"/>
  <c r="L12" i="57" s="1"/>
  <c r="G12" i="57"/>
  <c r="K12" i="57" s="1"/>
  <c r="E18" i="43"/>
  <c r="E11" i="43" s="1"/>
  <c r="H27" i="43"/>
  <c r="H42" i="43"/>
  <c r="H38" i="43"/>
  <c r="H29" i="43"/>
  <c r="H18" i="43"/>
  <c r="G11" i="43"/>
  <c r="G379" i="60"/>
  <c r="G378" i="60" s="1"/>
  <c r="J225" i="60"/>
  <c r="I225" i="60"/>
  <c r="I213" i="60"/>
  <c r="J209" i="60"/>
  <c r="I209" i="60"/>
  <c r="H161" i="60"/>
  <c r="H160" i="60" s="1"/>
  <c r="H159" i="60" s="1"/>
  <c r="H154" i="60"/>
  <c r="H128" i="60"/>
  <c r="H127" i="60" s="1"/>
  <c r="H126" i="60" s="1"/>
  <c r="F22" i="65" s="1"/>
  <c r="G128" i="60"/>
  <c r="G127" i="60" s="1"/>
  <c r="G126" i="60" s="1"/>
  <c r="D22" i="65" s="1"/>
  <c r="I114" i="60"/>
  <c r="J109" i="60"/>
  <c r="I109" i="60"/>
  <c r="H88" i="60"/>
  <c r="F15" i="65" s="1"/>
  <c r="H62" i="60"/>
  <c r="H53" i="60"/>
  <c r="F48" i="65" s="1"/>
  <c r="G31" i="60"/>
  <c r="G27" i="60" s="1"/>
  <c r="H16" i="60"/>
  <c r="H15" i="60" s="1"/>
  <c r="F13" i="65" s="1"/>
  <c r="K42" i="57"/>
  <c r="H11" i="57"/>
  <c r="H13" i="43"/>
  <c r="D12" i="43"/>
  <c r="H23" i="43"/>
  <c r="H33" i="43"/>
  <c r="E47" i="65"/>
  <c r="E12" i="58"/>
  <c r="F18" i="15"/>
  <c r="E43" i="65"/>
  <c r="E42" i="65" s="1"/>
  <c r="E41" i="65" s="1"/>
  <c r="D12" i="58"/>
  <c r="H12" i="58" s="1"/>
  <c r="F23" i="65"/>
  <c r="D23" i="65"/>
  <c r="H207" i="76"/>
  <c r="H134" i="76" s="1"/>
  <c r="E33" i="65"/>
  <c r="E32" i="65" s="1"/>
  <c r="E13" i="65"/>
  <c r="F13" i="15"/>
  <c r="E16" i="65"/>
  <c r="E57" i="17"/>
  <c r="E55" i="17" s="1"/>
  <c r="J31" i="76"/>
  <c r="J39" i="76"/>
  <c r="G443" i="19"/>
  <c r="H216" i="19"/>
  <c r="H385" i="19"/>
  <c r="H384" i="19" s="1"/>
  <c r="J47" i="76"/>
  <c r="G152" i="19"/>
  <c r="H137" i="19"/>
  <c r="H136" i="19" s="1"/>
  <c r="H169" i="19"/>
  <c r="H167" i="19" s="1"/>
  <c r="H180" i="19"/>
  <c r="H179" i="19" s="1"/>
  <c r="H178" i="19" s="1"/>
  <c r="J35" i="76"/>
  <c r="G24" i="19"/>
  <c r="H111" i="19"/>
  <c r="H110" i="19" s="1"/>
  <c r="H115" i="19"/>
  <c r="H114" i="19" s="1"/>
  <c r="H120" i="19"/>
  <c r="H119" i="19" s="1"/>
  <c r="H135" i="19"/>
  <c r="H134" i="19" s="1"/>
  <c r="H133" i="19" s="1"/>
  <c r="H201" i="19"/>
  <c r="H279" i="19"/>
  <c r="H278" i="19" s="1"/>
  <c r="H277" i="19" s="1"/>
  <c r="H300" i="19"/>
  <c r="G269" i="76"/>
  <c r="G186" i="19"/>
  <c r="G185" i="19" s="1"/>
  <c r="J82" i="76"/>
  <c r="E26" i="17"/>
  <c r="J206" i="76"/>
  <c r="E45" i="17"/>
  <c r="E43" i="17" s="1"/>
  <c r="E28" i="17"/>
  <c r="J129" i="76"/>
  <c r="G48" i="19"/>
  <c r="G166" i="19"/>
  <c r="G172" i="19"/>
  <c r="G171" i="19" s="1"/>
  <c r="G128" i="76"/>
  <c r="G125" i="76" s="1"/>
  <c r="G121" i="76" s="1"/>
  <c r="H184" i="19"/>
  <c r="G241" i="19"/>
  <c r="D48" i="17" s="1"/>
  <c r="H83" i="19"/>
  <c r="H47" i="19"/>
  <c r="H46" i="19" s="1"/>
  <c r="H45" i="19" s="1"/>
  <c r="H40" i="19" s="1"/>
  <c r="F16" i="17" s="1"/>
  <c r="H16" i="19"/>
  <c r="H15" i="19" s="1"/>
  <c r="J89" i="76"/>
  <c r="J68" i="76"/>
  <c r="J24" i="76"/>
  <c r="I191" i="76"/>
  <c r="I190" i="76" s="1"/>
  <c r="I219" i="76"/>
  <c r="J265" i="76"/>
  <c r="I102" i="76"/>
  <c r="I101" i="76" s="1"/>
  <c r="I100" i="76" s="1"/>
  <c r="G101" i="76"/>
  <c r="J51" i="76"/>
  <c r="J21" i="76"/>
  <c r="I84" i="76"/>
  <c r="I83" i="76" s="1"/>
  <c r="J197" i="76"/>
  <c r="J105" i="76"/>
  <c r="G104" i="76"/>
  <c r="J59" i="76"/>
  <c r="J14" i="76"/>
  <c r="J167" i="76"/>
  <c r="J95" i="76"/>
  <c r="I127" i="76"/>
  <c r="I125" i="76" s="1"/>
  <c r="I121" i="76" s="1"/>
  <c r="G126" i="76"/>
  <c r="J77" i="76"/>
  <c r="J30" i="76"/>
  <c r="J80" i="76"/>
  <c r="I142" i="76"/>
  <c r="I97" i="76"/>
  <c r="J81" i="76"/>
  <c r="G205" i="76"/>
  <c r="G210" i="76"/>
  <c r="N143" i="15"/>
  <c r="H314" i="19" l="1"/>
  <c r="H313" i="19" s="1"/>
  <c r="H189" i="60"/>
  <c r="H404" i="19"/>
  <c r="H403" i="19" s="1"/>
  <c r="H402" i="19" s="1"/>
  <c r="H394" i="19" s="1"/>
  <c r="H380" i="19"/>
  <c r="H97" i="19"/>
  <c r="G187" i="76"/>
  <c r="G186" i="76" s="1"/>
  <c r="I187" i="76"/>
  <c r="I186" i="76" s="1"/>
  <c r="K186" i="76" s="1"/>
  <c r="G208" i="76"/>
  <c r="G207" i="76" s="1"/>
  <c r="J203" i="76"/>
  <c r="J195" i="76"/>
  <c r="E25" i="17"/>
  <c r="G11" i="57"/>
  <c r="G481" i="60" s="1"/>
  <c r="D54" i="65" s="1"/>
  <c r="H12" i="43"/>
  <c r="D11" i="43"/>
  <c r="H11" i="43" s="1"/>
  <c r="H8" i="15"/>
  <c r="F15" i="17"/>
  <c r="E15" i="17"/>
  <c r="F13" i="17"/>
  <c r="E13" i="17"/>
  <c r="H123" i="19"/>
  <c r="F22" i="17"/>
  <c r="F21" i="17" s="1"/>
  <c r="G170" i="19"/>
  <c r="D33" i="17"/>
  <c r="D32" i="17" s="1"/>
  <c r="D57" i="17"/>
  <c r="H464" i="19"/>
  <c r="H463" i="19" s="1"/>
  <c r="H441" i="19" s="1"/>
  <c r="F30" i="17"/>
  <c r="F29" i="17" s="1"/>
  <c r="J142" i="76"/>
  <c r="I140" i="76"/>
  <c r="I106" i="76"/>
  <c r="I107" i="76"/>
  <c r="G239" i="60"/>
  <c r="D46" i="65"/>
  <c r="D45" i="65" s="1"/>
  <c r="G465" i="60"/>
  <c r="G445" i="60" s="1"/>
  <c r="D26" i="65"/>
  <c r="D25" i="65" s="1"/>
  <c r="H239" i="60"/>
  <c r="F46" i="65"/>
  <c r="F45" i="65" s="1"/>
  <c r="G245" i="60"/>
  <c r="D49" i="65"/>
  <c r="D47" i="65" s="1"/>
  <c r="I202" i="60"/>
  <c r="G201" i="60"/>
  <c r="G74" i="60"/>
  <c r="D14" i="65" s="1"/>
  <c r="G335" i="60"/>
  <c r="G334" i="60" s="1"/>
  <c r="G333" i="60" s="1"/>
  <c r="H175" i="60"/>
  <c r="F36" i="65" s="1"/>
  <c r="F35" i="65" s="1"/>
  <c r="E31" i="65"/>
  <c r="G40" i="60"/>
  <c r="G39" i="60" s="1"/>
  <c r="F39" i="65"/>
  <c r="G175" i="60"/>
  <c r="D36" i="65" s="1"/>
  <c r="D35" i="65" s="1"/>
  <c r="G16" i="60"/>
  <c r="I16" i="60" s="1"/>
  <c r="H146" i="60"/>
  <c r="F25" i="65"/>
  <c r="I78" i="76"/>
  <c r="J78" i="76" s="1"/>
  <c r="I79" i="76"/>
  <c r="I269" i="76"/>
  <c r="I268" i="76" s="1"/>
  <c r="I267" i="76" s="1"/>
  <c r="I266" i="76" s="1"/>
  <c r="G268" i="76"/>
  <c r="G267" i="76" s="1"/>
  <c r="G266" i="76" s="1"/>
  <c r="J149" i="76"/>
  <c r="J127" i="76"/>
  <c r="J128" i="76"/>
  <c r="H379" i="19"/>
  <c r="H378" i="19" s="1"/>
  <c r="G466" i="19"/>
  <c r="G465" i="19" s="1"/>
  <c r="G464" i="19" s="1"/>
  <c r="D30" i="17" s="1"/>
  <c r="H215" i="19"/>
  <c r="H200" i="19"/>
  <c r="H195" i="19" s="1"/>
  <c r="H194" i="19" s="1"/>
  <c r="H155" i="19"/>
  <c r="D20" i="17"/>
  <c r="G79" i="19"/>
  <c r="G78" i="19" s="1"/>
  <c r="J235" i="76"/>
  <c r="G57" i="19"/>
  <c r="G56" i="19" s="1"/>
  <c r="G58" i="19"/>
  <c r="H55" i="19"/>
  <c r="J141" i="76"/>
  <c r="H299" i="19"/>
  <c r="H295" i="19" s="1"/>
  <c r="H481" i="60"/>
  <c r="F54" i="65" s="1"/>
  <c r="H483" i="60"/>
  <c r="G291" i="60"/>
  <c r="G290" i="60" s="1"/>
  <c r="D31" i="65" s="1"/>
  <c r="H268" i="19"/>
  <c r="H267" i="19" s="1"/>
  <c r="H276" i="19"/>
  <c r="E23" i="65"/>
  <c r="E21" i="65" s="1"/>
  <c r="H262" i="19"/>
  <c r="H263" i="19"/>
  <c r="G262" i="19"/>
  <c r="G263" i="19"/>
  <c r="H281" i="76"/>
  <c r="H356" i="60"/>
  <c r="H355" i="60" s="1"/>
  <c r="H354" i="60" s="1"/>
  <c r="F33" i="65" s="1"/>
  <c r="H292" i="60"/>
  <c r="H291" i="60" s="1"/>
  <c r="G377" i="60"/>
  <c r="D34" i="65" s="1"/>
  <c r="I147" i="60"/>
  <c r="G146" i="60"/>
  <c r="G355" i="60"/>
  <c r="G354" i="60" s="1"/>
  <c r="D33" i="65" s="1"/>
  <c r="J202" i="60"/>
  <c r="G275" i="60"/>
  <c r="G154" i="60"/>
  <c r="G200" i="60"/>
  <c r="I163" i="60"/>
  <c r="G161" i="60"/>
  <c r="G160" i="60" s="1"/>
  <c r="G159" i="60" s="1"/>
  <c r="J163" i="60"/>
  <c r="H119" i="60"/>
  <c r="G119" i="60"/>
  <c r="D20" i="65" s="1"/>
  <c r="D19" i="65" s="1"/>
  <c r="H275" i="60"/>
  <c r="H274" i="60" s="1"/>
  <c r="H270" i="60" s="1"/>
  <c r="F30" i="65" s="1"/>
  <c r="H335" i="60"/>
  <c r="H334" i="60" s="1"/>
  <c r="H333" i="60" s="1"/>
  <c r="F32" i="65" s="1"/>
  <c r="H208" i="60"/>
  <c r="F40" i="65" s="1"/>
  <c r="H74" i="60"/>
  <c r="F14" i="65" s="1"/>
  <c r="H61" i="60"/>
  <c r="F49" i="65" s="1"/>
  <c r="F47" i="65" s="1"/>
  <c r="H40" i="60"/>
  <c r="F16" i="65" s="1"/>
  <c r="H487" i="19"/>
  <c r="I147" i="76"/>
  <c r="I146" i="76" s="1"/>
  <c r="I210" i="76"/>
  <c r="J75" i="76"/>
  <c r="J62" i="76"/>
  <c r="G190" i="19"/>
  <c r="G312" i="19"/>
  <c r="G448" i="19"/>
  <c r="G360" i="19"/>
  <c r="G442" i="19"/>
  <c r="D27" i="17" s="1"/>
  <c r="G133" i="19"/>
  <c r="G132" i="19" s="1"/>
  <c r="G131" i="19" s="1"/>
  <c r="D26" i="17" s="1"/>
  <c r="H465" i="60"/>
  <c r="H445" i="60" s="1"/>
  <c r="G208" i="60"/>
  <c r="D40" i="65" s="1"/>
  <c r="J147" i="60"/>
  <c r="G52" i="60"/>
  <c r="H14" i="60"/>
  <c r="H13" i="60" s="1"/>
  <c r="L11" i="57"/>
  <c r="G7" i="58"/>
  <c r="D28" i="61"/>
  <c r="D27" i="61" s="1"/>
  <c r="D25" i="61" s="1"/>
  <c r="E40" i="65"/>
  <c r="E37" i="65" s="1"/>
  <c r="I61" i="76"/>
  <c r="F12" i="15"/>
  <c r="I12" i="58"/>
  <c r="G6" i="58"/>
  <c r="F17" i="15"/>
  <c r="C29" i="61"/>
  <c r="C28" i="61" s="1"/>
  <c r="C27" i="61" s="1"/>
  <c r="C25" i="61" s="1"/>
  <c r="E30" i="65"/>
  <c r="G253" i="19"/>
  <c r="D50" i="17" s="1"/>
  <c r="G73" i="19"/>
  <c r="G72" i="19" s="1"/>
  <c r="D12" i="17" s="1"/>
  <c r="G16" i="19"/>
  <c r="J138" i="76"/>
  <c r="H177" i="19"/>
  <c r="G184" i="19"/>
  <c r="I299" i="19"/>
  <c r="G31" i="19"/>
  <c r="G27" i="19" s="1"/>
  <c r="I88" i="19"/>
  <c r="I28" i="76"/>
  <c r="I27" i="76" s="1"/>
  <c r="J202" i="76"/>
  <c r="I19" i="76"/>
  <c r="J19" i="76" s="1"/>
  <c r="I37" i="76"/>
  <c r="I36" i="76" s="1"/>
  <c r="G46" i="76"/>
  <c r="J38" i="76"/>
  <c r="G246" i="19"/>
  <c r="D49" i="17" s="1"/>
  <c r="J215" i="76"/>
  <c r="G176" i="19"/>
  <c r="G124" i="19"/>
  <c r="E16" i="17"/>
  <c r="H14" i="19"/>
  <c r="H13" i="19" s="1"/>
  <c r="G220" i="19"/>
  <c r="G219" i="19" s="1"/>
  <c r="G40" i="19"/>
  <c r="H132" i="19"/>
  <c r="J97" i="76"/>
  <c r="J209" i="76"/>
  <c r="J219" i="76"/>
  <c r="J194" i="76"/>
  <c r="J191" i="76"/>
  <c r="G204" i="76"/>
  <c r="J204" i="76" s="1"/>
  <c r="J205" i="76"/>
  <c r="I126" i="76"/>
  <c r="H436" i="19"/>
  <c r="H435" i="19" s="1"/>
  <c r="J158" i="76"/>
  <c r="J83" i="76"/>
  <c r="I169" i="76"/>
  <c r="I168" i="76" s="1"/>
  <c r="I165" i="76"/>
  <c r="I164" i="76" s="1"/>
  <c r="J211" i="76"/>
  <c r="J104" i="76"/>
  <c r="G103" i="76"/>
  <c r="J103" i="76" s="1"/>
  <c r="G135" i="76"/>
  <c r="J190" i="76"/>
  <c r="J159" i="76"/>
  <c r="J84" i="76"/>
  <c r="J102" i="76"/>
  <c r="J166" i="76"/>
  <c r="J196" i="76"/>
  <c r="J264" i="76"/>
  <c r="J263" i="76"/>
  <c r="J189" i="76"/>
  <c r="J22" i="76"/>
  <c r="H39" i="19"/>
  <c r="J155" i="76"/>
  <c r="J29" i="76"/>
  <c r="J217" i="76"/>
  <c r="J20" i="76"/>
  <c r="J154" i="76"/>
  <c r="J86" i="76"/>
  <c r="G212" i="19"/>
  <c r="J153" i="76"/>
  <c r="I152" i="76"/>
  <c r="J99" i="76"/>
  <c r="G100" i="76"/>
  <c r="J100" i="76" s="1"/>
  <c r="J101" i="76"/>
  <c r="J218" i="76"/>
  <c r="G211" i="19" l="1"/>
  <c r="D39" i="65"/>
  <c r="G189" i="60"/>
  <c r="H433" i="19"/>
  <c r="H434" i="19"/>
  <c r="F11" i="65"/>
  <c r="H131" i="19"/>
  <c r="F40" i="17"/>
  <c r="J238" i="76"/>
  <c r="K238" i="76" s="1"/>
  <c r="D36" i="17"/>
  <c r="G36" i="17"/>
  <c r="I208" i="76"/>
  <c r="I207" i="76" s="1"/>
  <c r="I136" i="76"/>
  <c r="K11" i="57"/>
  <c r="F7" i="58"/>
  <c r="G483" i="60"/>
  <c r="F6" i="58"/>
  <c r="G8" i="15"/>
  <c r="I8" i="15" s="1"/>
  <c r="D16" i="17"/>
  <c r="F20" i="17"/>
  <c r="F11" i="17" s="1"/>
  <c r="E20" i="17"/>
  <c r="E11" i="17" s="1"/>
  <c r="E58" i="17" s="1"/>
  <c r="G55" i="19"/>
  <c r="D56" i="17"/>
  <c r="D55" i="17" s="1"/>
  <c r="F57" i="17"/>
  <c r="F55" i="17" s="1"/>
  <c r="G261" i="19"/>
  <c r="D52" i="17"/>
  <c r="D51" i="17" s="1"/>
  <c r="G123" i="19"/>
  <c r="D22" i="17"/>
  <c r="D21" i="17" s="1"/>
  <c r="G189" i="19"/>
  <c r="D42" i="17"/>
  <c r="D41" i="17" s="1"/>
  <c r="H261" i="19"/>
  <c r="H240" i="19" s="1"/>
  <c r="F52" i="17"/>
  <c r="F51" i="17" s="1"/>
  <c r="G125" i="60"/>
  <c r="D24" i="65"/>
  <c r="D21" i="65" s="1"/>
  <c r="D32" i="65"/>
  <c r="H118" i="60"/>
  <c r="F20" i="65"/>
  <c r="F19" i="65" s="1"/>
  <c r="H125" i="60"/>
  <c r="F24" i="65"/>
  <c r="F21" i="65" s="1"/>
  <c r="D16" i="65"/>
  <c r="G69" i="60"/>
  <c r="G38" i="60"/>
  <c r="E29" i="65"/>
  <c r="G15" i="60"/>
  <c r="J269" i="76"/>
  <c r="I60" i="76"/>
  <c r="D45" i="17"/>
  <c r="H214" i="19"/>
  <c r="H213" i="19" s="1"/>
  <c r="H212" i="19" s="1"/>
  <c r="H211" i="19" s="1"/>
  <c r="H190" i="19"/>
  <c r="J106" i="76"/>
  <c r="H38" i="19"/>
  <c r="H230" i="19"/>
  <c r="F46" i="17" s="1"/>
  <c r="H174" i="60"/>
  <c r="F53" i="65"/>
  <c r="F52" i="65" s="1"/>
  <c r="F51" i="65" s="1"/>
  <c r="F50" i="65" s="1"/>
  <c r="H480" i="60"/>
  <c r="H479" i="60" s="1"/>
  <c r="H478" i="60" s="1"/>
  <c r="H477" i="60" s="1"/>
  <c r="H476" i="60" s="1"/>
  <c r="G480" i="60"/>
  <c r="G479" i="60" s="1"/>
  <c r="G478" i="60" s="1"/>
  <c r="G477" i="60" s="1"/>
  <c r="G476" i="60" s="1"/>
  <c r="D53" i="65"/>
  <c r="D52" i="65" s="1"/>
  <c r="D51" i="65" s="1"/>
  <c r="D50" i="65" s="1"/>
  <c r="G487" i="19"/>
  <c r="F37" i="65"/>
  <c r="D37" i="65"/>
  <c r="E18" i="65"/>
  <c r="G151" i="19"/>
  <c r="D28" i="17" s="1"/>
  <c r="D25" i="17" s="1"/>
  <c r="G174" i="60"/>
  <c r="H290" i="60"/>
  <c r="F31" i="65" s="1"/>
  <c r="F29" i="65" s="1"/>
  <c r="G274" i="60"/>
  <c r="G270" i="60" s="1"/>
  <c r="D30" i="65" s="1"/>
  <c r="G118" i="60"/>
  <c r="H186" i="60"/>
  <c r="G463" i="19"/>
  <c r="G441" i="19" s="1"/>
  <c r="H52" i="60"/>
  <c r="H69" i="60"/>
  <c r="H39" i="60"/>
  <c r="I27" i="60"/>
  <c r="G378" i="19"/>
  <c r="G377" i="19" s="1"/>
  <c r="J58" i="76"/>
  <c r="G56" i="76"/>
  <c r="G240" i="19"/>
  <c r="G359" i="19"/>
  <c r="D38" i="17" s="1"/>
  <c r="H176" i="19"/>
  <c r="H166" i="19"/>
  <c r="H151" i="19" s="1"/>
  <c r="G267" i="19"/>
  <c r="H294" i="19"/>
  <c r="H290" i="19" s="1"/>
  <c r="J61" i="76"/>
  <c r="J121" i="76"/>
  <c r="G8" i="58"/>
  <c r="G69" i="76"/>
  <c r="G66" i="76" s="1"/>
  <c r="G65" i="76" s="1"/>
  <c r="G15" i="19"/>
  <c r="D13" i="17" s="1"/>
  <c r="G82" i="19"/>
  <c r="G77" i="19" s="1"/>
  <c r="D14" i="17" s="1"/>
  <c r="J34" i="76"/>
  <c r="J46" i="76"/>
  <c r="G45" i="76"/>
  <c r="J45" i="76" s="1"/>
  <c r="J148" i="76"/>
  <c r="G175" i="19"/>
  <c r="J124" i="76"/>
  <c r="D47" i="17"/>
  <c r="H377" i="19"/>
  <c r="J27" i="76"/>
  <c r="J28" i="76"/>
  <c r="J268" i="76"/>
  <c r="J36" i="76"/>
  <c r="J37" i="76"/>
  <c r="G39" i="19"/>
  <c r="G230" i="19"/>
  <c r="D46" i="17" s="1"/>
  <c r="D29" i="17"/>
  <c r="I157" i="76"/>
  <c r="I43" i="76"/>
  <c r="I44" i="76"/>
  <c r="J216" i="76"/>
  <c r="J169" i="76"/>
  <c r="J165" i="76"/>
  <c r="J210" i="76"/>
  <c r="J270" i="76"/>
  <c r="J266" i="76"/>
  <c r="J92" i="76"/>
  <c r="J137" i="76"/>
  <c r="J32" i="76"/>
  <c r="I18" i="76"/>
  <c r="I17" i="76" s="1"/>
  <c r="J98" i="76"/>
  <c r="J164" i="76"/>
  <c r="J168" i="76"/>
  <c r="J49" i="76"/>
  <c r="H71" i="19"/>
  <c r="J113" i="76"/>
  <c r="J11" i="76"/>
  <c r="I96" i="76"/>
  <c r="J85" i="76"/>
  <c r="G15" i="76"/>
  <c r="J126" i="76"/>
  <c r="C28" i="21"/>
  <c r="C27" i="21" s="1"/>
  <c r="C26" i="21" s="1"/>
  <c r="C24" i="21" s="1"/>
  <c r="G38" i="19" l="1"/>
  <c r="H130" i="19"/>
  <c r="G489" i="19"/>
  <c r="G490" i="19" s="1"/>
  <c r="F26" i="17"/>
  <c r="D39" i="17"/>
  <c r="G39" i="17"/>
  <c r="F39" i="17"/>
  <c r="J207" i="76"/>
  <c r="G38" i="17"/>
  <c r="F8" i="58"/>
  <c r="F35" i="17"/>
  <c r="J135" i="76"/>
  <c r="E64" i="17"/>
  <c r="E68" i="17" s="1"/>
  <c r="D29" i="65"/>
  <c r="H175" i="19"/>
  <c r="F38" i="17"/>
  <c r="F45" i="17"/>
  <c r="F43" i="17" s="1"/>
  <c r="H189" i="19"/>
  <c r="L25" i="76" s="1"/>
  <c r="F42" i="17"/>
  <c r="F41" i="17" s="1"/>
  <c r="G14" i="60"/>
  <c r="G13" i="60" s="1"/>
  <c r="D13" i="65"/>
  <c r="D11" i="65" s="1"/>
  <c r="E11" i="65"/>
  <c r="E55" i="65" s="1"/>
  <c r="E59" i="65" s="1"/>
  <c r="F55" i="65"/>
  <c r="I93" i="76"/>
  <c r="I94" i="76"/>
  <c r="I56" i="76"/>
  <c r="I57" i="76"/>
  <c r="G48" i="76"/>
  <c r="J18" i="76"/>
  <c r="I16" i="76"/>
  <c r="I15" i="76" s="1"/>
  <c r="J60" i="76"/>
  <c r="I156" i="76"/>
  <c r="I151" i="76" s="1"/>
  <c r="J140" i="76"/>
  <c r="I135" i="76"/>
  <c r="I42" i="76"/>
  <c r="I26" i="76" s="1"/>
  <c r="I25" i="76" s="1"/>
  <c r="G403" i="19"/>
  <c r="H206" i="19"/>
  <c r="G130" i="19"/>
  <c r="H269" i="60"/>
  <c r="H268" i="60" s="1"/>
  <c r="G269" i="60"/>
  <c r="G268" i="60" s="1"/>
  <c r="G186" i="60"/>
  <c r="G68" i="60" s="1"/>
  <c r="G206" i="19"/>
  <c r="H38" i="60"/>
  <c r="H68" i="60"/>
  <c r="G14" i="19"/>
  <c r="I38" i="19"/>
  <c r="H312" i="19"/>
  <c r="G290" i="19"/>
  <c r="G35" i="17" s="1"/>
  <c r="I378" i="19"/>
  <c r="J96" i="76"/>
  <c r="D43" i="17"/>
  <c r="L106" i="76"/>
  <c r="I69" i="76"/>
  <c r="I66" i="76" s="1"/>
  <c r="I65" i="76" s="1"/>
  <c r="J70" i="76"/>
  <c r="I441" i="19"/>
  <c r="G71" i="19"/>
  <c r="J157" i="76"/>
  <c r="J214" i="76"/>
  <c r="J44" i="76"/>
  <c r="J43" i="76"/>
  <c r="J87" i="76"/>
  <c r="J187" i="76"/>
  <c r="L26" i="76" l="1"/>
  <c r="H39" i="17"/>
  <c r="K135" i="76"/>
  <c r="I150" i="76"/>
  <c r="G402" i="19"/>
  <c r="G394" i="19" s="1"/>
  <c r="G40" i="17" s="1"/>
  <c r="G34" i="17" s="1"/>
  <c r="J56" i="76"/>
  <c r="D55" i="65"/>
  <c r="C32" i="61" s="1"/>
  <c r="C31" i="61" s="1"/>
  <c r="C30" i="61" s="1"/>
  <c r="C26" i="61" s="1"/>
  <c r="C24" i="61" s="1"/>
  <c r="H289" i="19"/>
  <c r="H288" i="19" s="1"/>
  <c r="J134" i="76" s="1"/>
  <c r="F36" i="17"/>
  <c r="F34" i="17" s="1"/>
  <c r="I290" i="19"/>
  <c r="D35" i="17"/>
  <c r="H70" i="19"/>
  <c r="F28" i="17"/>
  <c r="F25" i="17" s="1"/>
  <c r="F58" i="17" s="1"/>
  <c r="J16" i="76"/>
  <c r="J156" i="76"/>
  <c r="G482" i="60"/>
  <c r="G484" i="60" s="1"/>
  <c r="H482" i="60"/>
  <c r="G70" i="19"/>
  <c r="G13" i="19"/>
  <c r="I13" i="19" s="1"/>
  <c r="G134" i="76"/>
  <c r="D11" i="17"/>
  <c r="I312" i="19"/>
  <c r="I377" i="19"/>
  <c r="J93" i="76"/>
  <c r="J69" i="76"/>
  <c r="J15" i="76"/>
  <c r="I134" i="76" l="1"/>
  <c r="K134" i="76"/>
  <c r="D40" i="17"/>
  <c r="D34" i="17" s="1"/>
  <c r="D58" i="17" s="1"/>
  <c r="G289" i="19"/>
  <c r="G288" i="19" s="1"/>
  <c r="I288" i="19" s="1"/>
  <c r="I394" i="19"/>
  <c r="I48" i="76"/>
  <c r="J48" i="76" s="1"/>
  <c r="H485" i="19"/>
  <c r="D56" i="65"/>
  <c r="D59" i="65" s="1"/>
  <c r="D32" i="61"/>
  <c r="D31" i="61" s="1"/>
  <c r="D30" i="61" s="1"/>
  <c r="D29" i="61" s="1"/>
  <c r="D26" i="61" s="1"/>
  <c r="D24" i="61" s="1"/>
  <c r="H484" i="60"/>
  <c r="F56" i="65"/>
  <c r="F57" i="65" s="1"/>
  <c r="G281" i="76"/>
  <c r="J65" i="76"/>
  <c r="J42" i="76"/>
  <c r="I70" i="19"/>
  <c r="G485" i="19" l="1"/>
  <c r="I281" i="76"/>
  <c r="H488" i="19"/>
  <c r="F60" i="17"/>
  <c r="F61" i="17" s="1"/>
  <c r="D57" i="65"/>
  <c r="F59" i="65"/>
  <c r="L134" i="76"/>
  <c r="G488" i="19" l="1"/>
  <c r="G491" i="19"/>
  <c r="C29" i="21"/>
  <c r="C25" i="21" s="1"/>
  <c r="C23" i="21" s="1"/>
  <c r="C14" i="21" s="1"/>
  <c r="C13" i="21" s="1"/>
  <c r="D60" i="17"/>
  <c r="D61" i="17" s="1"/>
  <c r="I485" i="19"/>
  <c r="J281" i="76"/>
  <c r="C30" i="21" l="1"/>
  <c r="C31" i="21" s="1"/>
</calcChain>
</file>

<file path=xl/comments1.xml><?xml version="1.0" encoding="utf-8"?>
<comments xmlns="http://schemas.openxmlformats.org/spreadsheetml/2006/main">
  <authors>
    <author>Доржиева</author>
  </authors>
  <commentList>
    <comment ref="G65" authorId="0">
      <text>
        <r>
          <rPr>
            <b/>
            <sz val="9"/>
            <color indexed="81"/>
            <rFont val="Tahoma"/>
            <family val="2"/>
            <charset val="204"/>
          </rPr>
          <t>Доржиева:</t>
        </r>
        <r>
          <rPr>
            <sz val="9"/>
            <color indexed="81"/>
            <rFont val="Tahoma"/>
            <family val="2"/>
            <charset val="204"/>
          </rPr>
          <t xml:space="preserve">
20 729,340 к распределению 
3226,16 резерв нераспределенный
 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04"/>
          </rPr>
          <t>Доржиева:</t>
        </r>
        <r>
          <rPr>
            <sz val="9"/>
            <color indexed="81"/>
            <rFont val="Tahoma"/>
            <family val="2"/>
            <charset val="204"/>
          </rPr>
          <t xml:space="preserve">
105,   выборы наушки; 500 На АХО ГСМ;
45,00 МО СП ;
45,799 МО СП;
99,00 ДШИ
</t>
        </r>
      </text>
    </comment>
    <comment ref="G272" authorId="0">
      <text>
        <r>
          <rPr>
            <b/>
            <sz val="9"/>
            <color indexed="81"/>
            <rFont val="Tahoma"/>
            <family val="2"/>
            <charset val="204"/>
          </rPr>
          <t>Доржиева:</t>
        </r>
        <r>
          <rPr>
            <sz val="9"/>
            <color indexed="81"/>
            <rFont val="Tahoma"/>
            <family val="2"/>
            <charset val="204"/>
          </rPr>
          <t xml:space="preserve">
1225,0 не распределены
МАРТ сессия: -155,00
</t>
        </r>
      </text>
    </comment>
  </commentList>
</comments>
</file>

<file path=xl/sharedStrings.xml><?xml version="1.0" encoding="utf-8"?>
<sst xmlns="http://schemas.openxmlformats.org/spreadsheetml/2006/main" count="8479" uniqueCount="1239">
  <si>
    <t>9990000000</t>
  </si>
  <si>
    <t>9990082100</t>
  </si>
  <si>
    <t>99 3 00 73060</t>
  </si>
  <si>
    <t>99 0 00 00000</t>
  </si>
  <si>
    <t>99 9 00 87000</t>
  </si>
  <si>
    <t>99 9 00 80900</t>
  </si>
  <si>
    <t>99 3 00 73110</t>
  </si>
  <si>
    <t>Осуществление государственных полномочий</t>
  </si>
  <si>
    <t>ГП Город Кяхта</t>
  </si>
  <si>
    <t>СП Тамирское</t>
  </si>
  <si>
    <t>Межбюджетные  трансферты,  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</si>
  <si>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МУНИЦИПАЛЬНОЕ КАЗЕННОЕ  УЧРЕЖДЕНИЕ РАЙОННОЕ УПРАВЛЕНИЕ ОБРАЗОВАНИЯ МУНИЦИПАЛЬНОГО ОБРАЗОВАНИЯ  «КЯХТИНСКИЙ РАЙОН» РЕСПУБЛИКИ БУРЯТИЯ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</si>
  <si>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</si>
  <si>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</si>
  <si>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01 06 05 01 05 0000 640</t>
  </si>
  <si>
    <t>Иные выплаты персоналу государственных (муниципальных) органов, за исключением фонда оплаты труда</t>
  </si>
  <si>
    <t>Наименование видов заимствований</t>
  </si>
  <si>
    <t>привлечение средств</t>
  </si>
  <si>
    <t>погашение основной суммы долга</t>
  </si>
  <si>
    <t>Кредиты кредитных организаций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</si>
  <si>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</si>
  <si>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</si>
  <si>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</si>
  <si>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</si>
  <si>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</si>
  <si>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</si>
  <si>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</si>
  <si>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</si>
  <si>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</si>
  <si>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</si>
  <si>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1 05 02010 02 0000 110</t>
  </si>
  <si>
    <t>Единый налог на вмененный доход для отдельных видов деятельности</t>
  </si>
  <si>
    <t xml:space="preserve"> 1 05 02020 02 0000 110 </t>
  </si>
  <si>
    <t>Единый  налог  на  вмененный доход для                    отдельных видов деятельности (за налоговые периоды, истекшие до 1  января 2011 года)</t>
  </si>
  <si>
    <t>1 05 03010 01 0000 110</t>
  </si>
  <si>
    <t>Единый сельскохозяйственный налог</t>
  </si>
  <si>
    <t xml:space="preserve">1 05 03020 01 0000 110 </t>
  </si>
  <si>
    <t xml:space="preserve">1 08 03010 01 0000 110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</si>
  <si>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</si>
  <si>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</si>
  <si>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</si>
  <si>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Министерство внутренних дел по Республике Бурятия</t>
  </si>
  <si>
    <t>Резервные средства</t>
  </si>
  <si>
    <t xml:space="preserve">в том числе за счет средств республиканского бюджета </t>
  </si>
  <si>
    <t>Дотации на выравнивание уровня бюджетной обеспеченности субъектов Российской Федерации и муниципальных образований</t>
  </si>
  <si>
    <t xml:space="preserve">Наименование </t>
  </si>
  <si>
    <t>№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</si>
  <si>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</si>
  <si>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</si>
  <si>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</si>
  <si>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1 14 01050 05 0000 410</t>
  </si>
  <si>
    <t>Доходы от продажи квартир, находящихся в собственности муниципальных районов</t>
  </si>
  <si>
    <t>1 14 02053 05 0000 410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</si>
  <si>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</si>
  <si>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Другие вопросы в области жилищно-коммунального хозяйства</t>
  </si>
  <si>
    <t>Осуществление государственных полномочий по хранению, формированию, учету и использованию архивного фонда Республики Бурятия</t>
  </si>
  <si>
    <t>510</t>
  </si>
  <si>
    <t>Другие вопросы в области национальной экономики</t>
  </si>
  <si>
    <t>511</t>
  </si>
  <si>
    <t>Осуществление государственных полномочий по созданию и организации деятельности административных комиссий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</si>
  <si>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</si>
  <si>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182 1 05 040200 2 0000 110</t>
  </si>
  <si>
    <t>БЕЗВОЗМЕЗДНЫЕ ПОСТУПЛЕНИЯ ОТ ДРУГИХ БЮДЖЕТОВ БЮДЖЕТНОЙ СИСТЕМЫ РОССИЙСКОЙ ФЕДЕРАЦИИ</t>
  </si>
  <si>
    <t>Подраздел-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</si>
  <si>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</si>
  <si>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</si>
  <si>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</si>
  <si>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</si>
  <si>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</si>
  <si>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</si>
  <si>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</si>
  <si>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</si>
  <si>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</si>
  <si>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</si>
  <si>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</si>
  <si>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СРЕДСТВА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</si>
  <si>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</si>
  <si>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</si>
  <si>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</si>
  <si>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Приложение 8</t>
  </si>
  <si>
    <t>Код</t>
  </si>
  <si>
    <t>сумма</t>
  </si>
  <si>
    <t>Источники финансирования дефицита бюджета-всего</t>
  </si>
  <si>
    <t>ИСТОЧНИКИ ВНУТРЕННЕГО ФИНАНСИРОВАНИЯ ДЕФИЦИТОВ БЮДЖЕТОВ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</si>
  <si>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</si>
  <si>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</si>
  <si>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</si>
  <si>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</si>
  <si>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</si>
  <si>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</si>
  <si>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</si>
  <si>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</si>
  <si>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</si>
  <si>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</si>
  <si>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931 9000 0000 00 0000 000</t>
  </si>
  <si>
    <t>931 0100 0000 00 0000 000</t>
  </si>
  <si>
    <t>931 0103 0000 00 0000 000</t>
  </si>
  <si>
    <t>931 0103 0000 00 0000 700</t>
  </si>
  <si>
    <t>931 0103 0000 00 0000 800</t>
  </si>
  <si>
    <t>931 0103 0000 05 0000 710</t>
  </si>
  <si>
    <t>931 01 03 0000 05 0000 810</t>
  </si>
  <si>
    <t>931 0105 0000 00 0000 000</t>
  </si>
  <si>
    <t>931 0105 0000 00 0000 500</t>
  </si>
  <si>
    <t>Расходы на обеспечение деятельности (оказание услуг) учреждений культуры (дома культуры, другие учреждения культуры)</t>
  </si>
  <si>
    <t>Развитие общественной инфраструктуры, капитальный ремонт, реконструкции, строительства объектов образования, физической культуры и спорта, культуры, дорожного хозяйственного жилищно-коммунального хозяйства</t>
  </si>
  <si>
    <t>414</t>
  </si>
  <si>
    <t>Содержание инструкторов по физической культуре и спорту</t>
  </si>
  <si>
    <t>(тыс.рублей)</t>
  </si>
  <si>
    <t>Иные доходы местного бюджета, администрирование которых может осуществляться главными администраторами доходов местного бюджета, в пределах их компетенции</t>
  </si>
  <si>
    <t>Код бюджетной классификации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</si>
  <si>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</si>
  <si>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</si>
  <si>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</si>
  <si>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</si>
  <si>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</si>
  <si>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</si>
  <si>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МКУ РУО МО "Кяхтинский район"</t>
  </si>
  <si>
    <t>936</t>
  </si>
  <si>
    <t xml:space="preserve">Непрограммные расходы </t>
  </si>
  <si>
    <t xml:space="preserve">МО «Кяхтинский район»  </t>
  </si>
  <si>
    <t>ВСЕГО РАСХОДОВ</t>
  </si>
  <si>
    <t>Федеральная регистрационная служба</t>
  </si>
  <si>
    <t xml:space="preserve"> </t>
  </si>
  <si>
    <t>НАЛОГИ НА ТОВАРЫ (РАБОТЫ, УСЛУГИ), РЕАЛИЗУЕМЫЕ НА ТЕРРИТОРИИ РОССИЙСКОЙ ФЕДЕРАЦИИ</t>
  </si>
  <si>
    <t xml:space="preserve">КСП </t>
  </si>
  <si>
    <t>160</t>
  </si>
  <si>
    <t>Федеральная служба по регулированию алкогольного рынка</t>
  </si>
  <si>
    <t>1 05 04020 02 0000 110</t>
  </si>
  <si>
    <t>Управление Федерального казначейства</t>
  </si>
  <si>
    <t>934 1 11 05013 13 0000 120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</si>
  <si>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</si>
  <si>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</si>
  <si>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</si>
  <si>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</si>
  <si>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934 1 14 06013 13 0000 430</t>
  </si>
  <si>
    <t>Всего на 2015г. было</t>
  </si>
  <si>
    <t>Всего на 2015г.</t>
  </si>
  <si>
    <t>1 11 05013 13 0000 120</t>
  </si>
  <si>
    <t>1 14 06013 13 0000 430</t>
  </si>
  <si>
    <t>Прочие субвенции бюджетам муниципальных районов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</si>
  <si>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</si>
  <si>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</si>
  <si>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Присяжные заседатели</t>
  </si>
  <si>
    <t>Расходы связанные с осуществлением полномочий по обеспечению деятельности (оказание услуг) учреждений культуры (дома культуры, другие учреждения культуры)</t>
  </si>
  <si>
    <t>Субсидия на повышение средней заработной платы работников муниципальных учреждений культуры</t>
  </si>
  <si>
    <t>ВСЕГО</t>
  </si>
  <si>
    <t>Приложение 6</t>
  </si>
  <si>
    <t>Приложение 11</t>
  </si>
  <si>
    <t>1 13 02995 05 0000 130</t>
  </si>
  <si>
    <t>Прочие доходы от компенсации затрат бюджетов муниципальных районов</t>
  </si>
  <si>
    <t>Судебная система</t>
  </si>
  <si>
    <t>Приложение 3</t>
  </si>
  <si>
    <t>источников финансирования дефицита бюджета МР (ГО)</t>
  </si>
  <si>
    <t xml:space="preserve"> «О бюджете муниципального образования</t>
  </si>
  <si>
    <t xml:space="preserve">администратора источников финансирования дефицита бюджета </t>
  </si>
  <si>
    <t>(тыс. рублей)</t>
  </si>
  <si>
    <t>2 02 00000 00 0000 000</t>
  </si>
  <si>
    <t>2.Иные межбюджетные трансферты в бюджеты поселений от бюджета муниципального района</t>
  </si>
  <si>
    <t>Межбюджетные трансферты общего характера бюджетам субъектов Российской Федерации и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</si>
  <si>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</si>
  <si>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Фонд оплаты труда государственных (муниципальных) органов и взносы по обязательному социальному страхованию</t>
  </si>
  <si>
    <t>Выполнение других обязательств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</si>
  <si>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</si>
  <si>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</si>
  <si>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240</t>
  </si>
  <si>
    <t>Получение кредитов от кредитных 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</si>
  <si>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</si>
  <si>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01 02 00 00 05 0000 810</t>
  </si>
  <si>
    <t>01 02 00 00 05 0000 710</t>
  </si>
  <si>
    <t>МУНИЦИПАЛЬНОЕ КАЗЕННОЕ  УЧРЕЖДЕНИЕ ФИНАНСОВОЕ УПРАВЛЕНИЕ АДМИНИСТРАЦИИ МО «КЯХТИНСКИЙ РАЙОН» РЕСПУБЛИКИ БУРЯТИЯ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</si>
  <si>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</si>
  <si>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</si>
  <si>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</si>
  <si>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</si>
  <si>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</si>
  <si>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</si>
  <si>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</si>
  <si>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Прочие  дотации  бюджетам  муниципальных  районов</t>
  </si>
  <si>
    <t>Прочие субсидии бюджетам муниципальных районов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</si>
  <si>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</si>
  <si>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</si>
  <si>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</si>
  <si>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</si>
  <si>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</si>
  <si>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На повышение средней заработной платы педагогических работников муниципальных учреждений дополнительного образования отрасли "Культура" на 2014 год в целях выполнения Указа Президента Российской Федерации от 1 июня 2012 года №761 "О Национальной стратегии действий в интересах детей на 2012-2017 годы"</t>
  </si>
  <si>
    <t>Осуществление государственных полномочий по организации и осуществлению  деятельности по опеке и попечительству в Республике Бурятия</t>
  </si>
  <si>
    <t>Осуществление государственных полномочий по образованию и организации деятельности комиссий по делам несовершеннолетних и защите их прав в Республике Бурятия</t>
  </si>
  <si>
    <t>Увеличение фонда оплаты труда педагогических работников муниципальных  учреждений дополнительного образования</t>
  </si>
  <si>
    <t xml:space="preserve">Мероприятия по оздоровлению детей, за исключением детей, находящихся в трудной жизненной ситуации </t>
  </si>
  <si>
    <t>Общий объем заимствований, направляемых на покрытие дефицита местного бюджета и погашение долговых обязательств муниципального образования</t>
  </si>
  <si>
    <t>Таблица 1.1</t>
  </si>
  <si>
    <t>Охрана окружающей среды</t>
  </si>
  <si>
    <t>Охрана объектов растительного и животного мира и среды их обитания</t>
  </si>
  <si>
    <t>Иные выплаты населению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</si>
  <si>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</si>
  <si>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МО «Кяхтинский район» </t>
  </si>
  <si>
    <t xml:space="preserve"> «Кяхтинский район» </t>
  </si>
  <si>
    <t>МКУ Совет депутатов МО "Кяхтинский район"</t>
  </si>
  <si>
    <t>МКУ ФУ Администрации МО «Кяхтинский район»</t>
  </si>
  <si>
    <t>Расходы, связанные с осуществлением полномочий по формированию и исполнению бюджета</t>
  </si>
  <si>
    <t>931</t>
  </si>
  <si>
    <t xml:space="preserve">МКУ Администрация МО «Кяхтинский район» </t>
  </si>
  <si>
    <t>Резервный фонд Администрации МО "Кяхтинский район"</t>
  </si>
  <si>
    <t>934</t>
  </si>
  <si>
    <t>к Решению Совета депутатов</t>
  </si>
  <si>
    <t>Бюджетные кредиты от других бюджетов бюджетной системы Российской Федерации</t>
  </si>
  <si>
    <t>Итого</t>
  </si>
  <si>
    <t xml:space="preserve">ДОХОДЫ +КРЕДИТ </t>
  </si>
  <si>
    <t xml:space="preserve">РАСХОДЫ +КРЕДИТ 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</si>
  <si>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</si>
  <si>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</si>
  <si>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</si>
  <si>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</si>
  <si>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</si>
  <si>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</si>
  <si>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01</t>
  </si>
  <si>
    <t>02</t>
  </si>
  <si>
    <t>07</t>
  </si>
  <si>
    <t>03</t>
  </si>
  <si>
    <t>09</t>
  </si>
  <si>
    <t>10</t>
  </si>
  <si>
    <t>06</t>
  </si>
  <si>
    <t>12</t>
  </si>
  <si>
    <t>11</t>
  </si>
  <si>
    <t>04</t>
  </si>
  <si>
    <t>05</t>
  </si>
  <si>
    <t>08</t>
  </si>
  <si>
    <t>ИТОГО расходов</t>
  </si>
  <si>
    <t>14</t>
  </si>
  <si>
    <t>Общегосударственные вопросы</t>
  </si>
  <si>
    <t>Другие общегосударственные вопросы</t>
  </si>
  <si>
    <t>Пенсионное обеспечение</t>
  </si>
  <si>
    <t>Сельское хозяйство и рыболовство</t>
  </si>
  <si>
    <t>Резервные фонды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</si>
  <si>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</si>
  <si>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гражданская оборона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</si>
  <si>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</si>
  <si>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</si>
  <si>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ОТ ДРУГИХ БЮДЖЕТОВ БЮДЖЕТНОЙ СИСТЕМЫ РОССИЙСКОЙ ФЕДЕРАЦИИ</t>
  </si>
  <si>
    <t>ИНЫЕ МЕЖБЮДЖЕТНЫЕ ТРАНСФЕРТЫ</t>
  </si>
  <si>
    <t>Периодическая печать и издательства</t>
  </si>
  <si>
    <t>13</t>
  </si>
  <si>
    <t>Ежемесячное денежное вознаграждение за классное руководство</t>
  </si>
  <si>
    <t xml:space="preserve">Расходы на обеспечение функционирования специалистов контрольно-счетной палаты муниципального образования </t>
  </si>
  <si>
    <t xml:space="preserve">СП "Алтайское" </t>
  </si>
  <si>
    <t xml:space="preserve">СП "Большекударинское" </t>
  </si>
  <si>
    <t xml:space="preserve">СП "Большелугское" </t>
  </si>
  <si>
    <t xml:space="preserve">СП "Зарянское" </t>
  </si>
  <si>
    <t xml:space="preserve">СП "Кударинское" </t>
  </si>
  <si>
    <t xml:space="preserve">СП "Малокударинское" </t>
  </si>
  <si>
    <t xml:space="preserve">СП "Мурочинское" </t>
  </si>
  <si>
    <t xml:space="preserve">СП "Тамирское" </t>
  </si>
  <si>
    <t xml:space="preserve">СП "Первомайское" </t>
  </si>
  <si>
    <t xml:space="preserve">СП "Субуктуйское" </t>
  </si>
  <si>
    <t xml:space="preserve">СП "Усть-Кяхтинское" </t>
  </si>
  <si>
    <t xml:space="preserve">СП "Хоронхойское" </t>
  </si>
  <si>
    <t xml:space="preserve">СП "Чикойское" </t>
  </si>
  <si>
    <t xml:space="preserve">СП "Шарагольское" </t>
  </si>
  <si>
    <t xml:space="preserve">ГП "Наушкинское" </t>
  </si>
  <si>
    <t xml:space="preserve">ГП "Город Кяхта" </t>
  </si>
  <si>
    <t xml:space="preserve">Итого </t>
  </si>
  <si>
    <t>Массовый спорт</t>
  </si>
  <si>
    <t>Общее образование</t>
  </si>
  <si>
    <t>Иные закупки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</si>
  <si>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</si>
  <si>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</si>
  <si>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Дотации</t>
  </si>
  <si>
    <t>Иные бюджетные ассигнования</t>
  </si>
  <si>
    <t>612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</si>
  <si>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</si>
  <si>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</si>
  <si>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</si>
  <si>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Дорожное хозяйство (дорожные фонды)</t>
  </si>
  <si>
    <t>Жилищно-коммунальное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</si>
  <si>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</si>
  <si>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</si>
  <si>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</si>
  <si>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048 1 12 00000 00 0000 000</t>
  </si>
  <si>
    <t xml:space="preserve">СП Алтайское </t>
  </si>
  <si>
    <t xml:space="preserve">СП Большекударинское </t>
  </si>
  <si>
    <t xml:space="preserve">СП Большелугское </t>
  </si>
  <si>
    <t xml:space="preserve">СП Зарянское </t>
  </si>
  <si>
    <t xml:space="preserve">СП Кударинское </t>
  </si>
  <si>
    <t xml:space="preserve">СП Малокударинское </t>
  </si>
  <si>
    <t xml:space="preserve">СП Мурочинское </t>
  </si>
  <si>
    <t xml:space="preserve">СП Первомайское </t>
  </si>
  <si>
    <t xml:space="preserve">СП Субуктуйское </t>
  </si>
  <si>
    <t xml:space="preserve">СП Тамирское </t>
  </si>
  <si>
    <t xml:space="preserve">СП Усть-Кяхтинское </t>
  </si>
  <si>
    <t xml:space="preserve">СП Хоронхойское </t>
  </si>
  <si>
    <t xml:space="preserve">СП Чикойское </t>
  </si>
  <si>
    <t xml:space="preserve">СП Шарагольское </t>
  </si>
  <si>
    <t xml:space="preserve">СП Усть-киранское </t>
  </si>
  <si>
    <t>СП "Усть-Киранское"</t>
  </si>
  <si>
    <t>СП "Кударинское"</t>
  </si>
  <si>
    <t>182 1 08 03010 01 0000 110</t>
  </si>
  <si>
    <t>931 0105 0000 00 0000 600</t>
  </si>
  <si>
    <t>931 0105 0200 00 0000 500</t>
  </si>
  <si>
    <t>931 0105 0201 00 0000 510</t>
  </si>
  <si>
    <t>931 0105 0201 05 0000 510</t>
  </si>
  <si>
    <t>931 0105 0200 00 0000 600</t>
  </si>
  <si>
    <t>931 0105 0201 00 0000 610</t>
  </si>
  <si>
    <t>931 0105 0201 05 0000 610</t>
  </si>
  <si>
    <t>1. Дотации бюджетам поселений, входящих в состав муниципального района</t>
  </si>
  <si>
    <t>Таблица 2.1</t>
  </si>
  <si>
    <t>ГРБС</t>
  </si>
  <si>
    <t>МО «Кяхтинский район»</t>
  </si>
  <si>
    <t xml:space="preserve"> «Кяхтинский район»</t>
  </si>
  <si>
    <t>Управление Федеральной службы по надзору в сфере природопользования по Республике Бурятия</t>
  </si>
  <si>
    <t>1 12 01000 01 0000 120</t>
  </si>
  <si>
    <t>Плата за негативное воздействие на окружающую среду</t>
  </si>
  <si>
    <t>048</t>
  </si>
  <si>
    <t xml:space="preserve">Управление Федеральной службы по ветеринарному и фитосанитарному надзору по Республике Бурятия </t>
  </si>
  <si>
    <t>081</t>
  </si>
  <si>
    <t>Федеральная служба по надзору в сфере защиты прав потребителей и благополучия человека</t>
  </si>
  <si>
    <t>141</t>
  </si>
  <si>
    <t xml:space="preserve">  Межрайонная инспекция Федеральная налоговая служба по Кяхтинскому району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</si>
  <si>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</si>
  <si>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</si>
  <si>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</si>
  <si>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</si>
  <si>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</si>
  <si>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НАЛОГИ НА СОВОКУПНЫЙ ДОХОД</t>
  </si>
  <si>
    <t>182 1 05 03000 01 0000 110</t>
  </si>
  <si>
    <t>182 1 08 00000 00 0000 000</t>
  </si>
  <si>
    <t>ГОСУДАРСТВЕННАЯ ПОШЛИНА</t>
  </si>
  <si>
    <t>934 1 11 00000 00 0000 000</t>
  </si>
  <si>
    <t>ДОХОДЫ ОТ ИСПОЛЬЗОВАНИЯ ИМУЩЕСТВА, НАХОДЯЩЕГОСЯ В ГОСУДАРСТВЕННОЙ И МУНИЦИПАЛЬНОЙ СОБСТВЕННОСТИ</t>
  </si>
  <si>
    <t>934 1 11 05035 05 0000 120</t>
  </si>
  <si>
    <t>ПЛАТЕЖИ ПРИ ПОЛЬЗОВАНИИ ПРИРОДНЫМИ РЕСУРСАМИ</t>
  </si>
  <si>
    <t>931 1 13 00000 00 0000 000</t>
  </si>
  <si>
    <t>ДОХОДЫ ОТ ОКАЗАНИЯ ПЛАТНЫХ УСЛУГ И КОМПЕНСАЦИИ ЗАТРАТ ГОСУДАРСТВА</t>
  </si>
  <si>
    <t>931 1 13 03050 05 0000 130</t>
  </si>
  <si>
    <t>934 1 14 00000 00 0000 000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</si>
  <si>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</si>
  <si>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муниципальных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</si>
  <si>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</si>
  <si>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</si>
  <si>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931 1 17 00000 00 0000 000</t>
  </si>
  <si>
    <t>ПРОЧИЕ НЕНАЛОГОВЫЕ ДОХОДЫ</t>
  </si>
  <si>
    <t>931 1 17 05050 05 0000 180</t>
  </si>
  <si>
    <t>320</t>
  </si>
  <si>
    <t>322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</si>
  <si>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</si>
  <si>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</si>
  <si>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 xml:space="preserve">Физическая культура </t>
  </si>
  <si>
    <t>Средства массовой информации</t>
  </si>
  <si>
    <t>Финансирование общеобразовательных учреждений в части реализации ими государственного стандарта общего образования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</si>
  <si>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</si>
  <si>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</si>
  <si>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</si>
  <si>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622</t>
  </si>
  <si>
    <t>Культура, кинематография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</si>
  <si>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</si>
  <si>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321</t>
  </si>
  <si>
    <t xml:space="preserve">Дошкольное образование </t>
  </si>
  <si>
    <t xml:space="preserve">Финансовое обеспечение получения дошкольного образования в образовательных организациях </t>
  </si>
  <si>
    <t>в т.ч. За счет РБ</t>
  </si>
  <si>
    <t>Прочие безвозмездные поступления в бюджеты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</si>
  <si>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</si>
  <si>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01 03 01 00 05 0000 710</t>
  </si>
  <si>
    <t>01 03 01 00 05 0000 810</t>
  </si>
  <si>
    <t>100 1 03 00000 00 0000 000</t>
  </si>
  <si>
    <t>100 1 03 02230 01 0000 110</t>
  </si>
  <si>
    <t>100 1 03 02240 01 0000 110</t>
  </si>
  <si>
    <t>100 1 03 02250 01 0000 110</t>
  </si>
  <si>
    <t>100 1 03 02260 01 0000 110</t>
  </si>
  <si>
    <t>Приложение 1</t>
  </si>
  <si>
    <t>№ п/п</t>
  </si>
  <si>
    <t>Код бюджетной классификации Российской Федерации</t>
  </si>
  <si>
    <t>главного администратора доходов</t>
  </si>
  <si>
    <t>Приложение 2</t>
  </si>
  <si>
    <t>доходов местного бюджета МР (ГО)</t>
  </si>
  <si>
    <t xml:space="preserve">Осуществление отдельного государственного полномочия по поддержке сельскохозяйственного производства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</si>
  <si>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</si>
  <si>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</si>
  <si>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</si>
  <si>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</si>
  <si>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</si>
  <si>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</si>
  <si>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</si>
  <si>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048 1 12 01010 01 0000 120</t>
  </si>
  <si>
    <t>048 1 12 01040 01 0000 120</t>
  </si>
  <si>
    <t>934 1 14 02053 05 0000 410</t>
  </si>
  <si>
    <t xml:space="preserve">Содержание автомобильных дорог общего пользования местного значения </t>
  </si>
  <si>
    <t>Расходы на обеспечение функционирования высшего должностного лица муниципального образования</t>
  </si>
  <si>
    <t>Расходы на обеспечение функционирования председателя представительного органа муниципального образования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</si>
  <si>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</si>
  <si>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Расходы на обеспечение деятельности (оказание услуг) общеобразовательных учреждений дополнительного образования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</si>
  <si>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</si>
  <si>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Расходы на содержание инструкторов по физической культуре и спорту</t>
  </si>
  <si>
    <t>Расходы, связанные с осуществлением полномочий по контрольно-счетной палате</t>
  </si>
  <si>
    <t>Функционирование высшего должностного лица субъекта Российской Федерации и муниципального образовании</t>
  </si>
  <si>
    <t>Прочие мероприятия, связанные с выполнением обязательств органов местного самоуправления</t>
  </si>
  <si>
    <t xml:space="preserve">Расходы на обеспечение функций  органов местного самоуправления </t>
  </si>
  <si>
    <t xml:space="preserve">Расходы на обеспечение деятельности (оказание услуг) муниципальных учреждений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</si>
  <si>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</si>
  <si>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</si>
  <si>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  соответствии с заключенными соглашениями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</si>
  <si>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</si>
  <si>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Единый сельскохозяйственный налог (за налоговые периоды, истекшие до 1 января 2011 года)</t>
  </si>
  <si>
    <t>Молодежная политика и оздоровление детей</t>
  </si>
  <si>
    <t>Физическая культура и спорт</t>
  </si>
  <si>
    <t>Социальное обеспечение населения</t>
  </si>
  <si>
    <t>Другие вопросы в области социальной политики</t>
  </si>
  <si>
    <t>Социальная политика</t>
  </si>
  <si>
    <t>Культура</t>
  </si>
  <si>
    <t>Дошкольное образование</t>
  </si>
  <si>
    <t>Образование</t>
  </si>
  <si>
    <t>Другие вопросы в области образования</t>
  </si>
  <si>
    <t>Осуществление государственных полномочий по расчету и предоставлению дотаций поселениям</t>
  </si>
  <si>
    <t>Иные межбюджетные трансферты</t>
  </si>
  <si>
    <t>121</t>
  </si>
  <si>
    <t>244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</si>
  <si>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сообщении(кроме железнодорожного транспорта)</t>
  </si>
  <si>
    <t>Уплата налога на имущество организаций и земельного налога</t>
  </si>
  <si>
    <t>870</t>
  </si>
  <si>
    <t>122</t>
  </si>
  <si>
    <t>Закупка товаров, работ, услуг в сфере информационно-коммуникационных технологий</t>
  </si>
  <si>
    <t>242</t>
  </si>
  <si>
    <t>611</t>
  </si>
  <si>
    <t>621</t>
  </si>
  <si>
    <t>540</t>
  </si>
  <si>
    <t>Национальная экономика</t>
  </si>
  <si>
    <t>Руководство и управление в сфере установленных функций  органов местного самоуправления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</si>
  <si>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уровня.</t>
  </si>
  <si>
    <t>Межбюджетные трансферты, муниципальных районов из бюджетов  поселений  на осуществление  части   полномочий по решению вопросов местного  значения в соответствии с заключенными соглашениями.</t>
  </si>
  <si>
    <t>Прочие межбюджетные трансферты, передаваемые бюджетам муниципальных районов</t>
  </si>
  <si>
    <t>МУНИЦИПАЛЬНОЕ КАЗЕННОЕ  УЧРЕЖДЕНИЕ АДМИНИСТРАЦИЯ МУНИЦИПАЛЬНОГО ОБРАЗОВАНИЯ «КЯХТИНСКИЙ РАЙОН» РЕСПУБЛИКИ БУРЯТИЯ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</si>
  <si>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</si>
  <si>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выплатам работникам государственных (муниципальных) органов</t>
  </si>
  <si>
    <t>129</t>
  </si>
  <si>
    <t>99 3 00 73100</t>
  </si>
  <si>
    <t>80 0 00 73180</t>
  </si>
  <si>
    <t>ГП Наушкинское</t>
  </si>
  <si>
    <t>Осуществление мероприятий, связанных с владением, пользованием и распоряжением имуществом, находящимся в муниципальной собственности.</t>
  </si>
  <si>
    <t>Осуществление отдельных государственных полномочий по уведомительной регистрации коллективных договоров</t>
  </si>
  <si>
    <t>СП Усть-Киранское</t>
  </si>
  <si>
    <t>111</t>
  </si>
  <si>
    <t>112</t>
  </si>
  <si>
    <t>119</t>
  </si>
  <si>
    <t>Администрирование передаваемого отдельного государственного полномочия по организации и обеспечению отдыха и оздоровления детей</t>
  </si>
  <si>
    <t>Подготовка проектов межевания и проведение кадастровых работ в отношении земельных участков, выделяемых за счет земельных долей</t>
  </si>
  <si>
    <t xml:space="preserve">931 01 02 00 00 00 0000 000  </t>
  </si>
  <si>
    <t>Кредиты кредитных организаций в валюте Российской Федерации</t>
  </si>
  <si>
    <t>Резервный фонд администрации по ликвидации чрезвычайных ситуаций и последствий стихийных бедствий</t>
  </si>
  <si>
    <t>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</si>
  <si>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</si>
  <si>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Приложение 5</t>
  </si>
  <si>
    <t xml:space="preserve">РЦКиД </t>
  </si>
  <si>
    <t xml:space="preserve">Содержание бухгалтеров </t>
  </si>
  <si>
    <t>Приложение 7</t>
  </si>
  <si>
    <t>Приложение 15</t>
  </si>
  <si>
    <t>Приложение 17</t>
  </si>
  <si>
    <t xml:space="preserve"> подпрограмма "Подготовка и проведение государственной (итоговой) аттестации выпускников IX и XI(XII) классов"</t>
  </si>
  <si>
    <t xml:space="preserve"> подпрограмма "Организация  летнего отдыха, оздоровления и занятости детей и подростков в МО «Кяхтинский район»"</t>
  </si>
  <si>
    <t xml:space="preserve"> подпрограмма "Развитие системы дополнительного образования  и  развития системы с одаренными детьми в МО «Кяхтинский район»"</t>
  </si>
  <si>
    <t xml:space="preserve"> подпрограмма "Развитие системы общего образования в МО «Кяхтинский  район»"</t>
  </si>
  <si>
    <t>подпрограмма "Развитие системы дошкольного образования в МО «Кяхтинский район»"</t>
  </si>
  <si>
    <t xml:space="preserve"> подпрограмма "Развитие системы общего образования в МО «Кяхтинский  район"</t>
  </si>
  <si>
    <t xml:space="preserve"> подпрограмма "Развитие системы дополнительного образования  и  развития системы с одаренными детьми в МО «Кяхтинский район"</t>
  </si>
  <si>
    <t xml:space="preserve"> подпрограмма "Организация  летнего отдыха, оздоровления и занятости детей и подростков в МО «Кяхтинский район"</t>
  </si>
  <si>
    <t xml:space="preserve"> подпрограмма "Развитие системы дошкольного образования в МО «Кяхтинский район»; "</t>
  </si>
  <si>
    <t>Приложение 12</t>
  </si>
  <si>
    <t>999</t>
  </si>
  <si>
    <t>99</t>
  </si>
  <si>
    <t>Условно утверждаемые расходы</t>
  </si>
  <si>
    <t>Непрограммные расходы</t>
  </si>
  <si>
    <t>Непрограммные расходы органа местного самоуправления</t>
  </si>
  <si>
    <t xml:space="preserve"> «О бюджете муниципального образования "Кяхтинский район"</t>
  </si>
  <si>
    <t>Приложение 14</t>
  </si>
  <si>
    <t>Приложение 13</t>
  </si>
  <si>
    <t>План на год (тыс.руб)</t>
  </si>
  <si>
    <t>Перечень главных администраторов доходов бюджета муниципального образования – органов государственной власти Российской Федерации (государственных органов), органов государственной власти Республики Бурятия (государственных органов)</t>
  </si>
  <si>
    <t>Перечень главных администраторов доходов бюджета муниципального образования – органов муниципальной власти Муниципального образования «Кяхтинский район» (муниципальных органов), органов местного самоуправления  в муниципальном образовании</t>
  </si>
  <si>
    <t>Перечень главных администраторов источников финансирования дефицита бюджета муниципального образования «Кяхтинский район»</t>
  </si>
  <si>
    <t>поправки</t>
  </si>
  <si>
    <t>Дополнительное образование детей</t>
  </si>
  <si>
    <t>2 02 15001 05 0000 151</t>
  </si>
  <si>
    <t>2 02 15002 05 0000 151</t>
  </si>
  <si>
    <t>2 02 19999 05 0000 151</t>
  </si>
  <si>
    <t>2 02 29999 05 0000 151</t>
  </si>
  <si>
    <t>2 02 30024 05 0000 151</t>
  </si>
  <si>
    <t>2 02 40014 05 0000 151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</si>
  <si>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</si>
  <si>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</si>
  <si>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</si>
  <si>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</si>
  <si>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</si>
  <si>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</si>
  <si>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2 02 30021 05 0000 151</t>
  </si>
  <si>
    <t>2 02 39999 05 0000 151</t>
  </si>
  <si>
    <t>01 05 02 00 00 0000 500</t>
  </si>
  <si>
    <t xml:space="preserve">Увеличение прочих остатков денежных средств бюджетов муниципальных районов </t>
  </si>
  <si>
    <t>01 05 02 00 00 0000 600</t>
  </si>
  <si>
    <t xml:space="preserve">Увеличение прочих остатков средств бюджетов </t>
  </si>
  <si>
    <t>01 05 02 01 05 0000 610</t>
  </si>
  <si>
    <t>Уменьшение прочих остатков средств бюджетов муниципальных районов</t>
  </si>
  <si>
    <t>2 02 10000 00 0000 000</t>
  </si>
  <si>
    <t>2 02 20000 00 0000 000</t>
  </si>
  <si>
    <t>2 02 30000 00 0000 000</t>
  </si>
  <si>
    <t>2 02 40000 00 0000 000</t>
  </si>
  <si>
    <t>Приложение 4</t>
  </si>
  <si>
    <t>Приложение 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</si>
  <si>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</si>
  <si>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</si>
  <si>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</si>
  <si>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</si>
  <si>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 xml:space="preserve">931 01 02 00 00 05 0000 710  </t>
  </si>
  <si>
    <t>931 01 02 00 00 05 0000 810</t>
  </si>
  <si>
    <t>99 9 00 Д0100</t>
  </si>
  <si>
    <t>99 9 99 00000</t>
  </si>
  <si>
    <t>01 05 02 01 05 0000 510</t>
  </si>
  <si>
    <t>00</t>
  </si>
  <si>
    <t xml:space="preserve">Субсидии на финансовое обеспечение затрат в связи с производством, выполнением работ, оказанием услуг, порядком предосталения которых установлено требование о последующем подтверждении их использования в соответствии с условиями и целями предоставления </t>
  </si>
  <si>
    <t>814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</si>
  <si>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</si>
  <si>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Дополнительное образование </t>
  </si>
  <si>
    <t>Субсидии на иные цели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</si>
  <si>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</si>
  <si>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Субсидия бюджетам муниципальных районов на поддержку отрасли культуры</t>
  </si>
  <si>
    <t>66 4 00 00000</t>
  </si>
  <si>
    <t>66 4 00 S2660</t>
  </si>
  <si>
    <t>66 2 00 00000</t>
  </si>
  <si>
    <t>99 9 00 73050</t>
  </si>
  <si>
    <t>99 3 00 73160</t>
  </si>
  <si>
    <t>99 1 00 91000</t>
  </si>
  <si>
    <t>99 1 00 91010</t>
  </si>
  <si>
    <t>99 1 00 91020</t>
  </si>
  <si>
    <t>99 1 00 91030</t>
  </si>
  <si>
    <t>99 9 00 00000</t>
  </si>
  <si>
    <t>66 3 00 54004</t>
  </si>
  <si>
    <t>99 4 00 C0200</t>
  </si>
  <si>
    <t>99 4 00 C0100</t>
  </si>
  <si>
    <t>99 1 00 91050</t>
  </si>
  <si>
    <t>99 1 00 91060</t>
  </si>
  <si>
    <t>99 6 00 00000</t>
  </si>
  <si>
    <t>99 3 00 00000</t>
  </si>
  <si>
    <t>99 3 00 73120</t>
  </si>
  <si>
    <t>99 2 00 00000</t>
  </si>
  <si>
    <t>33 0 00 10005</t>
  </si>
  <si>
    <t>99 6 00 Р0300</t>
  </si>
  <si>
    <t>12 0 00 11010</t>
  </si>
  <si>
    <t>99 3 00 73220</t>
  </si>
  <si>
    <t>99 3 00 73200</t>
  </si>
  <si>
    <t>99 3 00 73070</t>
  </si>
  <si>
    <t>99 3 00 73080</t>
  </si>
  <si>
    <t>12 0 00 95500</t>
  </si>
  <si>
    <t>55 0 00 13700</t>
  </si>
  <si>
    <t>99 3 00 73010</t>
  </si>
  <si>
    <t>71 2 00 73020</t>
  </si>
  <si>
    <t>02 0 00 30001</t>
  </si>
  <si>
    <t>71 2 00 83030</t>
  </si>
  <si>
    <t>80 0 00 83030</t>
  </si>
  <si>
    <t>11 2 00 07070</t>
  </si>
  <si>
    <t>71 2 00 83040</t>
  </si>
  <si>
    <t>99 2 00 83040</t>
  </si>
  <si>
    <t>71 2 00 20003</t>
  </si>
  <si>
    <t>80 0 00 83010</t>
  </si>
  <si>
    <t>80 0 00 83120</t>
  </si>
  <si>
    <t>99 5 00 85010</t>
  </si>
  <si>
    <t>99 3 00 73130</t>
  </si>
  <si>
    <t>99 3 00 73150</t>
  </si>
  <si>
    <t>11 0 00 40006</t>
  </si>
  <si>
    <t>99 9 00 S2200</t>
  </si>
  <si>
    <t>60 2 00 73090</t>
  </si>
  <si>
    <t>66 0 00 00000</t>
  </si>
  <si>
    <t>60 0 00 60007</t>
  </si>
  <si>
    <t>60 2 00 60007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</si>
  <si>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</si>
  <si>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Налог на доходы физических лиц с доходов, облагаемых по налоговой ставке, установленной  пунктом 1 статьи 224 Налогового кодекса 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</si>
  <si>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182 1 05 01000 02 0000 110</t>
  </si>
  <si>
    <t>Налог взимаемый по упрощеннойсистеме налогообложения</t>
  </si>
  <si>
    <t>План 2019 год</t>
  </si>
  <si>
    <t>План 2020 год</t>
  </si>
  <si>
    <t>Дотации бюджетам муниципальных районов на поддержку мер по обеспечению сбалансированности бюджетов</t>
  </si>
  <si>
    <t>99 9 00 Р0300</t>
  </si>
  <si>
    <t xml:space="preserve">Обеспечение профессиональной переподготовки, повышения квалификации глав муниципальных образований и муниципальных служащих </t>
  </si>
  <si>
    <t>Осуществление отдельного государственного полномочия  по отлову и содержанию безнадзорных домашних животных</t>
  </si>
  <si>
    <t>80 0 00 00000</t>
  </si>
  <si>
    <t>Дотация бюджетам муниципальных районов(городских округов) в целях стимулирования муниципальных образований за легализацию трудовых отношений, на 2018 год</t>
  </si>
  <si>
    <t>Субсидии бюджетам муниципальных районов (городских округов) на реализацию мероприятий по сокращению наркосырьевой базы, в том числе с применением химического способа уничтожения дикорастущей конопли на 2019-2020 годы</t>
  </si>
  <si>
    <t>99 9 00 51200</t>
  </si>
  <si>
    <t>На выравнивание уровня бюджетной обеспеченности субъектов Российской Федерации и муниципальных образований</t>
  </si>
  <si>
    <t>На выравнивание бюджетной обеспеченности   субъектов Российской Федерации и муниципальных образований</t>
  </si>
  <si>
    <t>Осуществление переданных отдельных государственных полномочий по поддержке сельскохозяйственного производства  органам местного самоуправления</t>
  </si>
  <si>
    <t>Осуществление переданных отдельных государственных полномочий  по отлову и содержанию безнадзорных домашних животных</t>
  </si>
  <si>
    <t>На повышение средней заработной платы работников муниципальных учреждений культуры</t>
  </si>
  <si>
    <t>Осуществление переданного  органам  местного самоуправления государственных  полномочий  по Закону  Республики Бурятия  от 8 июля 2008г № 394-IV «О наделении  органов  местного  самоуправления  муниципальных районов  и городских округов в Республике Бурятия отдельными  государственными полномочиями в области образования</t>
  </si>
  <si>
    <t>Осуществление переданного отдельного государственного полномочия  по отлову и содержанию безнадзорных домашних животных</t>
  </si>
  <si>
    <t>Выравнивание бюджетной обеспеченности   субъектов Российской Федерации и муниципальных образований</t>
  </si>
  <si>
    <t>Осуществление преданного отдельного государственного полномочия по поддержке сельскохозяйственного производства  органам местного самоуправления</t>
  </si>
  <si>
    <t>Осуществление переданного органам  местного самоуправления государственных  полномочий  по Закону  Республики Бурятия  от 8 июля 2008г № 394-IV «О наделении  органов  местного  самоуправления  муниципальных районов  и городских округов в Республике Бурятия отдельными  государственными полномочиями в области образования</t>
  </si>
  <si>
    <t>СП Шарагольское</t>
  </si>
  <si>
    <t>12 0 00 00000</t>
  </si>
  <si>
    <t>934 1 11 05013 05 0000 120</t>
  </si>
  <si>
    <t>934 1 14 06013 05 0000 430</t>
  </si>
  <si>
    <t>Приложение 18</t>
  </si>
  <si>
    <t>Приложение 21</t>
  </si>
  <si>
    <t>Приложение 22</t>
  </si>
  <si>
    <t>Поправки на 19 год</t>
  </si>
  <si>
    <t>Поправки на 20 год</t>
  </si>
  <si>
    <t>Софинансирование из местного бюджета на развитие общественной инфраструктуры, капитальный ремонт, реконструкции, строительства объектов образования, физической культуры и спорта, культуры, дорожного хозяйственного жилищно-коммунального хозяйства</t>
  </si>
  <si>
    <t>12 0 00 S2310</t>
  </si>
  <si>
    <t>Софинансирование мероприятий по подготовке проектов межевания и проведение кадастровых работ в отношении земельных участков, выделяемых за счет земельных долей</t>
  </si>
  <si>
    <t>ТОС/Культура</t>
  </si>
  <si>
    <t>Налог взимаемый по упрощенной системе налогообложения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</si>
  <si>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</si>
  <si>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</si>
  <si>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</si>
  <si>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</si>
  <si>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</si>
  <si>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</si>
  <si>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</si>
  <si>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1 05 01050 01 0000 110</t>
  </si>
  <si>
    <t xml:space="preserve">сумма дотации распределеная на 1 этапе </t>
  </si>
  <si>
    <t>Расходы на выплаты персоналу казенных учреждений</t>
  </si>
  <si>
    <t>11 1 00 L4970</t>
  </si>
  <si>
    <t xml:space="preserve">11 0 00 00000 </t>
  </si>
  <si>
    <t>Софинансирование из местного бюджета на реализацию первоочередных мероприятий по модернизации, капитальному ремонту и подготовке к отопительному сезону объектов коммунальной структуры, находящихся в муниципальной собственности</t>
  </si>
  <si>
    <t>Коммунальное хозяйство</t>
  </si>
  <si>
    <t>11 0 00 00000</t>
  </si>
  <si>
    <t>15 0 00 95600</t>
  </si>
  <si>
    <t xml:space="preserve">Субсидии бюджетам муниципальных районов (городских округов) на содержание инструкторов по физической культуре и спорту </t>
  </si>
  <si>
    <t>Субсидии бюджетам муниципальных районов (городских округов) на подготовку проектов межевания и проведение кадастровых работ в отношении земельных участков, выделяемых в счет земельных долей</t>
  </si>
  <si>
    <t xml:space="preserve">Субсидии  бюджетам муниципальных районов (городских округов) на увеличение фондов оплаты труда педагогических работников муниципальных учреждений дополнительного образования </t>
  </si>
  <si>
    <t xml:space="preserve">Субвенции бюджетам муниципальных районов на составление (изменение и дополнение) списков кандидатов в присяжные заседатели судов общей юрисдикции в Российской Федерации </t>
  </si>
  <si>
    <t xml:space="preserve"> Субвенция местным бюджетам на выплату вознаграждения за выполнение функций классного руководителя педагогическим работникам муниципальных образовательных организаций, реализующих образовательные программы начального  общего, основного общего, среднего общего образования </t>
  </si>
  <si>
    <t xml:space="preserve">Субвенции на осуществление и администрирование отдельного государственного полномочия по поддержке сельскохозяйственного производства </t>
  </si>
  <si>
    <t xml:space="preserve">Субвенция бюджетам муниципальных районов на осуществление государственных полномочий по расчету и предоставлению дотаций поселениям </t>
  </si>
  <si>
    <t xml:space="preserve">Субвенции местным бюджетам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</t>
  </si>
  <si>
    <t xml:space="preserve">Субвенции местным бюджетам на осуществление отдельного государственного полномочия  по отлову и содержанию безнадзорных домашних животных </t>
  </si>
  <si>
    <t xml:space="preserve">Субвенции местным бюджетам на администрирование отдельного государственного полномочия  по отлову и содержанию безнадзорных домашних животных </t>
  </si>
  <si>
    <t xml:space="preserve">Субвенции бюджетам на осуществление государственных полномочий по созданию и организации деятельности административных комиссий </t>
  </si>
  <si>
    <t xml:space="preserve">Субвенции местным бюджетам на осуществление государственных полномочий по образованию и  организации деятельности комиссий по делам несовершеннолетних и защите их прав в Республике Бурятия </t>
  </si>
  <si>
    <t xml:space="preserve">Субвенции местным бюджетам на осуществление отдельных государственных полномочий по уведомительной регистрации коллективных договоров </t>
  </si>
  <si>
    <t xml:space="preserve">Субвенции местным бюджетам на осуществление государственных полномочий по хранению, комплектованию, учету и использованию архивного фонда Республики Бурятия </t>
  </si>
  <si>
    <t>Субвенция местным бюджетам на осуществление государственных полномочий по организации и осуществлению деятельности по опеке и попечительству в Республике Бурятия</t>
  </si>
  <si>
    <t xml:space="preserve">Субвенции местным бюджетам на финансовое обеспечение получения начального общего, основного общего, среднего общего образования в муниципальных общеобразовательных организациях, дополнительного образования детей в муниципальных общеобразовательных организациях </t>
  </si>
  <si>
    <t xml:space="preserve">Субвенции местным бюджетам на финансовое обеспечение получения дошкольного образования в муниципальных образовательных организациях </t>
  </si>
  <si>
    <t xml:space="preserve">Субвенции местным бюджетам на обеспечение прав детей, находящихся в трудной  жизненной  ситуации, на отдых и оздоровление </t>
  </si>
  <si>
    <t xml:space="preserve">Субвенции местным бюджетам на обеспечение прав детей, находящихся в трудной  жизненной  ситуации, на организацию деятельности </t>
  </si>
  <si>
    <t xml:space="preserve">Субвенции местным бюджетам на организацию и обеспечение отдыха и оздоровления детей в загородных стационарных детских оздоровительных лагерях, оздоровительных лагерях с дневным пребыванием и иных детских лагерях сезонного действия (за исключением загородных стационарных детских оздоровительных лагерей), за исключением организации отдыха детей в каникулярное время и обеспечения прав детей, находящихся в трудной жизненной ситуации, на отдых и оздоровление </t>
  </si>
  <si>
    <t>План 2021 год</t>
  </si>
  <si>
    <t>934 1 11 05013 10 0000 120</t>
  </si>
  <si>
    <t>934 1 14 06013 10 0000 430</t>
  </si>
  <si>
    <t>НА 2020г</t>
  </si>
  <si>
    <t>НА 2021г</t>
  </si>
  <si>
    <t>Муниципальная программа"Улучшение инвестиционного климата в МО "Кяхтинский район" на 2019-2021 годы."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</si>
  <si>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бюджетов на 2020 и 2021 годы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</si>
  <si>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</si>
  <si>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</si>
  <si>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ИТОГО</t>
  </si>
  <si>
    <t xml:space="preserve">Бюджетам муниципальных районов на составление (изменение и дополнение) списков кандидатов в присяжные заседатели судов общей юрисдикции в Российской Федерации </t>
  </si>
  <si>
    <t>2 02 15001 05 0000 150</t>
  </si>
  <si>
    <t>2 02 15002 05 0000 150</t>
  </si>
  <si>
    <t>2 02 19999 05 0000 150</t>
  </si>
  <si>
    <t>2 02 29999 05 0000 150</t>
  </si>
  <si>
    <t>2 02 30024 05 0000 150</t>
  </si>
  <si>
    <t>2 02 40014 05 0000 150</t>
  </si>
  <si>
    <t>2 18 60010 05 0000 150</t>
  </si>
  <si>
    <t>2 19 60010 05 0000 150</t>
  </si>
  <si>
    <t>937</t>
  </si>
  <si>
    <t>МКУ "Комитет по развитию инфраструктуры Администрации МО "Кяхтинский район" РБ</t>
  </si>
  <si>
    <t>2 02 49999 05 0000 150</t>
  </si>
  <si>
    <t>Субсидии бюджетам муниципальных районов на реализацию программ формирования современной городской среды</t>
  </si>
  <si>
    <t>2 02 25555 05 0000 150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</si>
  <si>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</si>
  <si>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</si>
  <si>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2 02 25519 05 0000 150</t>
  </si>
  <si>
    <t>2 02 35120 05 0000 150</t>
  </si>
  <si>
    <t>2 02 45160 05 0000 150</t>
  </si>
  <si>
    <t>2 07 05030 05 0000 150</t>
  </si>
  <si>
    <t>2 02 27112 05 0000 150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</si>
  <si>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</si>
  <si>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2 02 25027 05 0000 150</t>
  </si>
  <si>
    <t>2 02 25097 05 0000 150</t>
  </si>
  <si>
    <t>2 02 25520 05 0000 150</t>
  </si>
  <si>
    <t>2 02 30021 05 0000 150</t>
  </si>
  <si>
    <t>2 02 39999 05 0000 150</t>
  </si>
  <si>
    <t>МУНИЦИПАЛЬНОЕ КАЗЕННОЕ  УЧРЕЖДЕНИЕ "КОМИТЕТ ПО РАЗВИТИЮ ИНФРАСТРУКТУРЫ" АДМИНИСТРАЦИИ МУНИЦИПАЛЬНОГО ОБРАЗОВАНИЯ  «КЯХТИНСКИЙ РАЙОН» РЕСПУБЛИКИ БУРЯТИЯ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</si>
  <si>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</si>
  <si>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</si>
  <si>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неиспользованных остатков прошлых лет иных межбюджетных трансфертов на содержание автомобильных дорог общего пользования местного значения по пл. пор. 592764 от 25.12.2018 г.</t>
  </si>
  <si>
    <t>Возврат остатков субвенции на выплату дополнительного вознаграждения педагогических работников за выполнение функций классного руководства</t>
  </si>
  <si>
    <t>Возврат остатков субвенций  на финансовое обеспечение получения дошкольного образования в образования</t>
  </si>
  <si>
    <t>На создание условий для организации временного трудоустройства несовершеннолетних граждан за счет средств республиканского бюджета в 2019 году</t>
  </si>
  <si>
    <t>ИТОГО:</t>
  </si>
  <si>
    <t>711F255550</t>
  </si>
  <si>
    <t xml:space="preserve">Софинанирование из местного бюджета  на оформление технических планов для постановки объектов безхозяйного недвижимого имущества на кадастровый учет </t>
  </si>
  <si>
    <t xml:space="preserve">На оформление технических планов для постановки объектов безхозяйного недвижимого имущества на кадастровый учет </t>
  </si>
  <si>
    <t>12 0 00 S2Б10</t>
  </si>
  <si>
    <t>Направление гарантирования</t>
  </si>
  <si>
    <t>Наименование принципала</t>
  </si>
  <si>
    <t>Общий объем предоставляемых гарантий</t>
  </si>
  <si>
    <t>Наличие права регрессного требования</t>
  </si>
  <si>
    <t>Обеспечение исполнения обязательств принципала по удовлетворению регрессных требований гаранта</t>
  </si>
  <si>
    <t>Анализ финансового состояния принципала</t>
  </si>
  <si>
    <t>Иные условия предоставления и исполнения муниципальных гарантий</t>
  </si>
  <si>
    <t>Исполнение муниципальных гарантий МО "Кяхтинский район"</t>
  </si>
  <si>
    <t>Объем бюджетных ассигнований на исполнение муниципальных гарантий МО "Кяхтинский район" по возможным гарантийным случаям в 2019 году.</t>
  </si>
  <si>
    <t>За счет источников финансирования дефицита местного бюджета</t>
  </si>
  <si>
    <t>За счет расходов местного бюджета</t>
  </si>
  <si>
    <t>-</t>
  </si>
  <si>
    <t>Приложение 23</t>
  </si>
  <si>
    <t>2 19 60000 05 0000 150</t>
  </si>
  <si>
    <t>2 18 60000 05 0000 150</t>
  </si>
  <si>
    <t>Объем бюджетных ассигнований на исполнение муниципальных гарантий МО "Кяхтинский район" по возможным гарантийным случаям в 2020-2021 годы.</t>
  </si>
  <si>
    <t>Софинансирование из местного бюджета для реализации муниципальной программы  "Формирование современной городской среды МО "Кяхтинский район" на 2018-2020 года"</t>
  </si>
  <si>
    <t>Субсидии бюджетам муниципальных районов на внесение изменений в документацию территориального планирования и градостроительного зонирования муниципальных образований в Республике Бурятия</t>
  </si>
  <si>
    <t>2 02 45505 05 0000 150</t>
  </si>
  <si>
    <t>Возврат неиспользованных остатков субсидии на реализацию первоочередных мероприятий по модернизацию, кап.рем. и подготовки к отопительному сезону по пл.пор. 534453 от 21.12.18</t>
  </si>
  <si>
    <t>Возврат неиспользованных остатков субсидии на реализацию первоочередных мероприятий по модернизацию, кап.рем. и подготовки к отопительному сезону</t>
  </si>
  <si>
    <t>Возврат остатков прошлых лет по иным межбюджетным трансфертам ((перечисление межбюджетных трансфертов на реал. мероприятий по подготовке к отопительному сезону согласно Соглашения 420 от 07.12.2018).</t>
  </si>
  <si>
    <t xml:space="preserve">Возврат остатков прошлых лет по иным межбюджетным
трансфертам (на постановку и установку источников водоснабжения по Соглашению 267 от 14.09.2018 г.)
</t>
  </si>
  <si>
    <t>2 18 05010 05 0000 150</t>
  </si>
  <si>
    <t>2 18 05020 05 0000 150</t>
  </si>
  <si>
    <t>2 02 25466 05 0000 150</t>
  </si>
  <si>
    <t>2 02 45454 05 0000 150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</si>
  <si>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</si>
  <si>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</si>
  <si>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Субсидии бюджетам муниципальных районов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</si>
  <si>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Межбюджетные трансферты, передаваемые бюджетам муниципальных районов на создание модельных муниципальных библиотек</t>
  </si>
  <si>
    <t>Возврат неиспользованных остатков субсидии на поддержку муниципальных программ формирования современной городской среды</t>
  </si>
  <si>
    <t>ФЕД. Бюджет</t>
  </si>
  <si>
    <t>2 02 45424 05 0000 150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</si>
  <si>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</si>
  <si>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</si>
  <si>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Софинансирование из местного бюджета на повышение средней заработной платы работников муниципальных учреждений</t>
  </si>
  <si>
    <t>Софинансирование из местного бюджета на повышение средней заработной платы педагогических работников муниципальных учреждений дополнительного образования отрасли "Культура" на 2014 год в целях выполнения Указа Президента Российской Федерации от 1 июня 2012 года №761 "О Национальной стратегии действий в интересах детей на 2012-2017 годы"</t>
  </si>
  <si>
    <t>80 0 00 S2270</t>
  </si>
  <si>
    <t>71 2 00 S2120</t>
  </si>
  <si>
    <t>Софинансирование из местного бюджета на увеличение фонда оплаты труда педагогических работников муниципальных  учреждений дополнительного образования</t>
  </si>
  <si>
    <t>99 9 00 S2160</t>
  </si>
  <si>
    <t>12000S2310</t>
  </si>
  <si>
    <t>350</t>
  </si>
  <si>
    <t>Премии и гранты</t>
  </si>
  <si>
    <t>66 1 00  54002</t>
  </si>
  <si>
    <t xml:space="preserve">Софинансирование из местного бюджета на обеспечение профессиональной переподготовки, повышения квалификации глав муниципальных образований и муниципальных служащих </t>
  </si>
  <si>
    <t>Осуществление мероприятий по обеспечению деятельности по охране правопорядка и общественной безопасности</t>
  </si>
  <si>
    <t>Софинансирование из местного бюджета на осуществление мероприятий по обеспечению деятельности по охране правопорядка и общественной безопасности</t>
  </si>
  <si>
    <t>Бюджетам муниципальных районов на обеспечение муниципальных дошкольных и общеобразовательных организаций педагогическими работниками</t>
  </si>
  <si>
    <t>Софинансирование из местного бюджета бюджетам муниципальных районов на обеспечение муниципальных дошкольных и общеобразовательных организаций педагогическими работниками</t>
  </si>
  <si>
    <t xml:space="preserve">Местным бюджетам на организацию и обеспечение отдыха и оздоровления детей в загородных стационарных детских оздоровительных лагерях, оздоровительных лагерях с дневным пребыванием и иных детских лагерях сезонного действия(за исключением загородных стационарных детских оздоровительных лагерей), за исключением организации отдыха детей в каникулярное время и обеспечения прав детей, находящихся в трудной жизненной ситуации, на отдых и оздоровление. </t>
  </si>
  <si>
    <t>Местным бюджетам на финансовое обеспечение получения начального общего, основного общего, среднего общего образования в муниципальных общеобразовательных организациях, дополнительного образования детей в муниципальных общеобразовательных организациях</t>
  </si>
  <si>
    <t>Субсидии бюджетам муниципальных районов на проведение кадастровых работ по формированию земельных участков для реализации Закона Республики Бурятия от 16.10.2002 № 115-III "О бесплатном предоставлении в собственность земельных участков, находящихся в государственной и муниципальной собственности"</t>
  </si>
  <si>
    <t xml:space="preserve">Субсидии бюджетам муниципальных районов (городских округов) на повышение средней заработной платы работников муниципальных учреждений культуры </t>
  </si>
  <si>
    <t>Субсидии бюджетам муниципальных районов (городских округов) на повышение средней заработной платы педагогических работников муниципальных учреждений дополнительного образования отрасли "Культура" в целях выполнения Указа Президента Российской Федерации от 1 июня 2012 года N 761 "О Национальной стратегии действий в интересах детей на 2012 - 2017 годы"</t>
  </si>
  <si>
    <t>Субсидии бюджетам муниципальных районов на подготовку проектов межевания и проведение кадастровых работ в отношении земельных участков, выделяемых в счет земельных долей</t>
  </si>
  <si>
    <t>Субсидии бюджетам муниципальных районов на реализацию мероприятий по обеспечению деятельности по охране правопорядка и общественной безопасности</t>
  </si>
  <si>
    <t>Субсидии бюджетам муниципальных районов (городских округов) на обеспечение муниципальных дошкольных и общеобразовательных организаций педагогическим работникам</t>
  </si>
  <si>
    <t xml:space="preserve">Субвенции местным бюджетам на администрирование передаваемых органам местного самоуправления государственных полномочий организации и обеспечению отдыха и оздоровления детей </t>
  </si>
  <si>
    <t xml:space="preserve">Дотация на выравнивание бюджетной обеспеченности муниципальных районов (городских округов) из республиканского бюджета  </t>
  </si>
  <si>
    <t xml:space="preserve">Субсидия бюджетам муниципальных районов,  городских округов на дорожную деятельность в отношении автомобильных дорог общего пользования местного значения </t>
  </si>
  <si>
    <t xml:space="preserve">Субсидия бюджетам муниципальных районов (городских округов) на повышение средней заработной платы педагогических работников муниципальных учреждений дополнительного образования отрасли "Культура" в целях выполнения Указа Президента Российской Федерации от 1 июня 2012 года N 761 "О Национальной стратегии действий в интересах детей на 2012 - 2017 годы" </t>
  </si>
  <si>
    <t>Субсидия бюджетам муниципальных образований на обеспечение профессиональной переподготовки, повышение квалификации глав муниципальных образований и муниципальных служащих</t>
  </si>
  <si>
    <t xml:space="preserve">Субвенция местным бюджетам на осуществление государственных полномочий по организации и осуществлению деятельности по опеке и попечительству в Республике Бурятия </t>
  </si>
  <si>
    <t xml:space="preserve">Субвенции на осуществление государственных полномочий по хранению, комплектованию, учету и использованию архивного фонда Республики Бурятия </t>
  </si>
  <si>
    <t>Субвенции местным бюджетам на осуществление государственных полномочий по образованию и  организации деятельности комиссий по делам несовершеннолетних и защите их прав в Республике Бурятия</t>
  </si>
  <si>
    <t xml:space="preserve">Субвенции местным бюджетам на осуществление и администрирование отдельного государственного полномочия по поддержке сельскохозяйственного производства </t>
  </si>
  <si>
    <t>Субвенции местным бюджетам на администрирование отдельного государственного полномочия  по отлову и содержанию безнадзорных домашних животных</t>
  </si>
  <si>
    <t xml:space="preserve">Субвенции местным бюджетам на администрирование передаваемых органам местного самоуправления государственных полномочий по организации и обеспечению отдыха и оздоровления детей </t>
  </si>
  <si>
    <t xml:space="preserve">2022 год </t>
  </si>
  <si>
    <t>Распределения иных межбюджетных трансфертов на первоочередные расходы сельских и городских поселений на 2020 год  (60 2 00 60007)</t>
  </si>
  <si>
    <t>2022 г.</t>
  </si>
  <si>
    <t>План 2022 год</t>
  </si>
  <si>
    <t>Муниципальная программа"Улучшение инвестиционного климата в МО "Кяхтинский район" на 2019-2021 годы"</t>
  </si>
  <si>
    <t>Муниципальная программа "Развитие  имущественных и земельных отношений в МО "Кяхтинский район"на 2019-2021 годы"</t>
  </si>
  <si>
    <t>Муниципальная программа "Развитие строительства в МО "Кяхтинский район" на 2019-2021 годы"</t>
  </si>
  <si>
    <t>Муниципальная программа "Управление муниципальными финансами в МО "Кяхтинский район" на 2020-2022 годы"</t>
  </si>
  <si>
    <t>Муниципальная программа "Развитие образования в муниципальном образовании "Кяхтинский район на 2020-2022 г.г."</t>
  </si>
  <si>
    <t>Муниципальная программа "Формирование современной городской среды МО "Кяхтинский район" на 2018-2022 гг"</t>
  </si>
  <si>
    <t>Софинансирование из местного бюджета для реализации муниципальной программы  "Формирование современной городской среды МО "Кяхтинский район" на 2018-2022 гг"</t>
  </si>
  <si>
    <t>Иные межбюджетные трансферты для реализации муниципальной программы  "Формирование современной городской среды МО "Кяхтинский район" на 2018-2022 гг"</t>
  </si>
  <si>
    <t xml:space="preserve"> Муниципальная программа "Развитие имущественных и земельных отношений в МО "Кяхтинский район" на 2019-2021 годы" </t>
  </si>
  <si>
    <t>Муниципальная программа "Развитие строительства в МО "Кяхтинский район" на 2019-2021годы"</t>
  </si>
  <si>
    <t>Муниципальная программа "Развитие образования в муниципальном образовании "Кяхтинский район на 2020 -2022 г.г."</t>
  </si>
  <si>
    <t>Иные межбюджетные трансферты для реализации муниципальной программы  "Формирование современной городской среды МО "Кяхтинский район" на 2018-2020 г.г."</t>
  </si>
  <si>
    <t>Муниципальная программа "Развитие отрасли "Культура" МО "Кяхтинский район" на 2018-2020 гг.</t>
  </si>
  <si>
    <t>Муниципальная программа "Развитие отрасли "Культура" МО "Кяхтинский район" на 2018-2020 г.г."</t>
  </si>
  <si>
    <t xml:space="preserve">от                2020 года № </t>
  </si>
  <si>
    <t>2022 год</t>
  </si>
  <si>
    <t>2022г</t>
  </si>
  <si>
    <t>Распределение бюджетных ассигнований на реализацию муниципальных программ муниципального образования "Кяхтинский район"на 2020 год</t>
  </si>
  <si>
    <t xml:space="preserve">Дотация на выравнивание бюджетной обеспеченности муниципальных районов (городских округов) из Республиканского фонда финансовой поддержки </t>
  </si>
  <si>
    <t>План на 2022 год (тыс.руб)</t>
  </si>
  <si>
    <t xml:space="preserve">Субсидии бюджетам муниципальных образований на обеспечение профессиональной переподготовки, повышение квалификации лиц, замещающих выборные муниципальные должности и муниципальных служащих </t>
  </si>
  <si>
    <t xml:space="preserve">Субсидии бюджетам муниципальных образований на реализацию мероприятий по обеспечению жильем молодых семей </t>
  </si>
  <si>
    <t>Субсидии бюджетам муниципальных районов(городских округов) на выполнение расходных обязательств муниципальных образований на обустройство объектов размещения твердых коммунальных отходов</t>
  </si>
  <si>
    <t>Субсидии муниципальным учреждениям, реализующим программы спортивной подготовки</t>
  </si>
  <si>
    <t xml:space="preserve">Субсидии бюджетам муниципальных районов (городских округов) на увеличение охвата детей дополнительным образованием </t>
  </si>
  <si>
    <t>Субсидия из республиканского бюджета бюджетам муниципальных районов и городских округов в Республике Бурятия на оплату труда обслуживающего персонала муниципальных общеобразовательных организаций</t>
  </si>
  <si>
    <t xml:space="preserve">Субсидии  муниципальным образованиям на строительство , реконструкцию и модернизацию систем теплоснабжения </t>
  </si>
  <si>
    <t xml:space="preserve">Бюджетам муниципальных образований на реализацию мероприятий по обеспечению жильем молодых семей </t>
  </si>
  <si>
    <t xml:space="preserve">Софинансирование из местного бюджета бюджетам муниципальных образований на реализацию мероприятий по обеспечению жильем молодых семей </t>
  </si>
  <si>
    <t>Муниципальным учреждениям, реализующим программы спортивной подготовки</t>
  </si>
  <si>
    <t xml:space="preserve">Муниципальным образованиям на строительство , реконструкцию и модернизацию систем теплоснабжения </t>
  </si>
  <si>
    <t xml:space="preserve"> Бюджетам муниципальных районов (городских округов) на увеличение охвата детей дополнительным образованием </t>
  </si>
  <si>
    <t>11 0 00 S2Е90</t>
  </si>
  <si>
    <t xml:space="preserve">Бюджетам муниципальных образований на развитие транспортной инфраструктуры на сельских территориях </t>
  </si>
  <si>
    <t>63 3 02 00000</t>
  </si>
  <si>
    <t>Субсидии местным бюджетам на строительство и реконструкцию (модернизацию) объектов питьевого водоснабжения</t>
  </si>
  <si>
    <t>На строительство и реконструкцию (модернизацию) объектов питьевого водоснабжения</t>
  </si>
  <si>
    <t>625G552430</t>
  </si>
  <si>
    <t>ФБ-21168</t>
  </si>
  <si>
    <t>РБ 432</t>
  </si>
  <si>
    <t>Бюджетам муниципальных районов и городских округов в Республике Бурятия на оплату труда обслуживающего персонала муниципальных общеобразовательных организаций</t>
  </si>
  <si>
    <t>Бюджетные инвестиции в объекты капитального строительства государственной (муниципальной) собственности</t>
  </si>
  <si>
    <t xml:space="preserve">Субвенция местным бюджетам на предоставление мер социальной поддержки по оплате коммунальных услуг педагогическим работникам муниципальных дошкольных образовательных организаций, муниципальных образовательных организаций дополнительного образования, бывшим педагогическим работникам образовательных организаций, переведенным специалистам в организации, реализующие программы спортивной подготовки, специалистам организаций, реализующих программы спортивной подготовки, в соответствии с перечнем должностей, утвержденным органом государственной власти Республики Бурятия в области физической культуры и спорта, специалистам муниципальных учреждений культуры,проживающим, работающим в сельских населенных пунктах, рабочих поселках (поселках городского типа) на территории Республики Бурятия </t>
  </si>
  <si>
    <t xml:space="preserve">На предоставление мер социальной поддержки по оплате коммунальных услуг педагогическим работникам муниципальных дошкольных образовательных организаций, муниципальных образовательных организаций дополнительного образования, бывшим педагогическим работникам образовательных организаций, переведенным специалистам в организации, реализующие программы спортивной подготовки, специалистам организаций, реализующих программы спортивной подготовки, в соответствии с перечнем должностей, утвержденным органом государственной власти Республики Бурятия в области физической культуры и спорта, специалистам муниципальных учреждений культуры,проживающим, работающим в сельских населенных пунктах, рабочих поселках (поселках городского типа) на территории Республики Бурятия </t>
  </si>
  <si>
    <t>Софинансирование из местного бюджета муниципальным учреждениям, реализующим программы спортивной подготовки</t>
  </si>
  <si>
    <t>Приложение 24</t>
  </si>
  <si>
    <t>Софинансирование из местного бюджета бюджетам муниципальных районов и городских округов в Республике Бурятия на оплату труда обслуживающего персонала муниципальных общеобразовательных организаций</t>
  </si>
  <si>
    <t>113</t>
  </si>
  <si>
    <t>Иные выплаты, за исключением фонда оплаты труда учреждений , лицам, привлекаемым согласно законодательству для выполнения отдельных полномочий</t>
  </si>
  <si>
    <t>80 0 00 S2340</t>
  </si>
  <si>
    <t xml:space="preserve">Субсидии на финансовое обеспечение затрат в связи с производством, выполнением работ, оказанием услуг, порядком предоставления которых установлено требование о последующем подтверждении их использования в соответствии с условиями и целями предоставления </t>
  </si>
  <si>
    <t>71 2 00 S2Е50</t>
  </si>
  <si>
    <t xml:space="preserve">Софинансирование из местного бюджета бюджетам муниципальных районов (городских округов) на увеличение охвата детей дополнительным образованием </t>
  </si>
  <si>
    <t>Спорт высших достижений</t>
  </si>
  <si>
    <t xml:space="preserve">Софинансирование из местного бюджета местным бюджетам на организацию и обеспечение отдыха и оздоровления детей в загородных стационарных детских оздоровительных лагерях, оздоровительных лагерях с дневным пребыванием и иных детских лагерях сезонного действия(за исключением загородных стационарных детских оздоровительных лагерей), за исключением организации отдыха детей в каникулярное время и обеспечения прав детей, находящихся в трудной жизненной ситуации, на отдых и оздоровление. </t>
  </si>
  <si>
    <t xml:space="preserve">Софинансирование из местного бюджета муниципальным образованиям на строительство , реконструкцию и модернизацию систем теплоснабжения </t>
  </si>
  <si>
    <t xml:space="preserve">Возврат неиспользованных остатков субсидии на разработку ПСД на строительство второй очереди водопровода по ул.Калинина г.Кяхта
</t>
  </si>
  <si>
    <t>Субсидии бюджетам муниципальных образований в Республике Бурятия на обеспечение развития и укрепления материально-технической базы домов культуры в населенных пунктах с числом жителей до 50 тысяч человек на 2020 год.</t>
  </si>
  <si>
    <t>Возврат субсидии из республиканского бюджета бюджетам муниципальных районов и городских округов а Республике Бурятия на оплату обслуживающего персонала</t>
  </si>
  <si>
    <t>Возврат остатков субвенции на оплату коммунальных услуг педагогическим работникам, проживающим, работающим в сельских населенных пунктах, рабочих поселков (пгт)</t>
  </si>
  <si>
    <t xml:space="preserve">Возврат неиспользованных остатков субсидии на реализацию первоочередных мероприятий по модернизации, капитальному ремонту и подготовке к отопительному сезону </t>
  </si>
  <si>
    <t>2 02 25467 05 0000 150</t>
  </si>
  <si>
    <t>15 0 00 00000</t>
  </si>
  <si>
    <t>Субсидия бюджетам муниципальных районов (городских округов) на создание в общеобразовательных организациях, расположенных в сельской местности и малых городах, условий для занатия физической культурой и спортом</t>
  </si>
  <si>
    <t xml:space="preserve">2 02 25519 05 0000 150 </t>
  </si>
  <si>
    <t>Субсидии на поддержку отрасли культура</t>
  </si>
  <si>
    <t>Субсидия бюджетам муниципальных образований на капитальный ремонт муниципальных общеобразовательных организаций на 2020 год</t>
  </si>
  <si>
    <t>Консолидированные субсидии на реализацию первоочередных мероприятий по модернизации, капитальному ремонту и подготовке к отопительному сезону объектов коммунальной инфраструктуры, находящихся в муниципальной собственности</t>
  </si>
  <si>
    <t>Финансовая поддержка ТОС посредсвом республиканского конкурса "Лучшее территориальное общественное самоуправление"</t>
  </si>
  <si>
    <t>Иные межбюджетные транферты на обучение глав поселений Республики Бурятия для достижения результатов регионального проекта "Увеличение доходов консолидированного бюджета от имущественных налогов"</t>
  </si>
  <si>
    <t>На реализацию первоочередных мероприятий по модернизации, капитальному ремонту и подготовке к отопительному сезону объектов коммунальной инфраструктуры, находящихся в муниципальной собственности</t>
  </si>
  <si>
    <t>937   934</t>
  </si>
  <si>
    <t>Муниципальная программа «Комплексное развитие сельских территорий МО "Кяхтинского район» на 2020-2022 годы»</t>
  </si>
  <si>
    <t>20227112050000150</t>
  </si>
  <si>
    <t>Субсидии бюджетам муниципальных образований на реализацию мероприятий по благоустройству сельских территорий Государственной программы Республики Бурятия "Комплексное развитие сельских территорий Республики Бурятия".</t>
  </si>
  <si>
    <t>Софинансирование из местного бюджета бюджетам муниципальных образований на реализацию мероприятия по благоустройству сельских территорий Государственной программы Республики Бурятия "Комплексное развитие сельских территорий Республики Бурятия".</t>
  </si>
  <si>
    <t>15000S2900</t>
  </si>
  <si>
    <t>План на 22 год (тыс.руб)</t>
  </si>
  <si>
    <t>2 02 25576 05 0000 150</t>
  </si>
  <si>
    <t>Налоговые и неналоговые доходы бюджета МО "Кяхтинский район" на 2021год</t>
  </si>
  <si>
    <t>на 2021 год и на плановый период 2022 и 2023 годов»</t>
  </si>
  <si>
    <t xml:space="preserve">от   декабря 2020 года № </t>
  </si>
  <si>
    <t>План на год 2021</t>
  </si>
  <si>
    <t xml:space="preserve">Субсидии бюджетам муниципальных образований на развитие общественной инфраструктуры, капитальный ремонт, реконструкция, строительство объектов образования, физической культуры и спорта, культуры, дорожного хозяйства, жилищно-коммунального хозяйства </t>
  </si>
  <si>
    <t>Субсидии бюджетам муниципальных районов, городских округов на дорожную деятельность в отношении автомобильных дорог общего пользования местного значения</t>
  </si>
  <si>
    <t>Субсидии бюджетам муниципальных районов на мероприятия по обеспечению деятельности по охране правопорядка и общественной безопасности</t>
  </si>
  <si>
    <t xml:space="preserve"> Субсидии бюджетам муниципальных образований на организацию горячего питания обучающихся, получающих начальное общее образование в муниципальных образовательных организациях</t>
  </si>
  <si>
    <t xml:space="preserve">Субсидия бюджетам муниципальных районов (городских округов) на организацию бесплатного горячего питания обучающихся,получающих начальное общее образование в муниципальных образовательных организациях </t>
  </si>
  <si>
    <t>Субсидии бюджетам муниципальных районов (городских округов) на обеспечение муниципальных дошкольных и общеобразовательных организаций педагогическими работниками</t>
  </si>
  <si>
    <t>Субсидии бюджетам муниципальных районов (городских округов) на софинансирование расходных обязательств муниципальных районов (городских округов) на содержание и обеспечение деятельности (оказание услуг) муниципальных учреждений</t>
  </si>
  <si>
    <t>Субсидии бюджетам муниципальных образований на софинансирование мероприятий по строительству, реконструкции объектов дошкольного образования</t>
  </si>
  <si>
    <t>Субсидия из республиканского бюджета бюджетам муниципальных районов и городских округов в Республике Бурятия на оплату труда обслуживающего персонала муниципальных общеобразовательных организаций, а также на оплату услуг сторонним организациям за выполнение работ(оказание услуг)</t>
  </si>
  <si>
    <t>Иные межбюджетные трансферты на ежемесячное денежное вознаграждение за классное руководство педагогичеким работникам государственных и муниципальных общеобразовательных учреждений</t>
  </si>
  <si>
    <t>2 02 45303 05 0000 150</t>
  </si>
  <si>
    <t>Объем безвозмездных поступлений в бюджет муниципального образования "Кяхтинский район" на 2021 год</t>
  </si>
  <si>
    <t>ФБ 1959,5 РБ 381,1</t>
  </si>
  <si>
    <t>ФБ 10839,4 РБ 221,2</t>
  </si>
  <si>
    <t>Субсидии бюджетам муниципальных образований на развитие транспортной инфраструктуры на сельских территориях</t>
  </si>
  <si>
    <t>ФБ 21168 РБ 432</t>
  </si>
  <si>
    <t>Субвенции местным бюджетам на администрирование передаваемых органам местного самоуправления государственных полномочий по Закону Республики Бурятия от 8 июля 2008 года N 394-IV "О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образования"</t>
  </si>
  <si>
    <t>15 0 00 S2140</t>
  </si>
  <si>
    <t>15 0 00 S2980</t>
  </si>
  <si>
    <t>Бюджетам муниципальных районов, городских округов на дорожную деятельность в отношении автомобильных дорог общего пользования местного значени</t>
  </si>
  <si>
    <t>14 9 00 00140</t>
  </si>
  <si>
    <t>Муниципальная программа"Повышение безопасности дорожного движения  Кяхтинского района на 2020-2022 годы"</t>
  </si>
  <si>
    <t>06 0 00 20001</t>
  </si>
  <si>
    <t>936,934</t>
  </si>
  <si>
    <t>06 000Д0100</t>
  </si>
  <si>
    <t>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</si>
  <si>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Бюджетам муниципальных образований на организацию горячего питания обучающихся, получающих основное общее, среднее общее образование в муниципальных образовательных организациях</t>
  </si>
  <si>
    <t>Софинансирование из местного бюджета бюджетам муниципальных образований на организацию горячего питания обучающихся, получающих основное общее, среднее общее образование в муниципальных образовательных организациях</t>
  </si>
  <si>
    <t>На ежемесячное денежное вознаграждение за классное руководство педагогичеким работникам государственных и муниципальных общеобразовательных учреждений</t>
  </si>
  <si>
    <t>5120153030</t>
  </si>
  <si>
    <t>Бюджетам муниципальных образований на приобретение объектов недвижимого имущества в муниципальную собственность в отрасли образование</t>
  </si>
  <si>
    <t>Бюджетам муниципальных образований на софинасирование мероприятий по строительству , реконструкции объектов дошкольного образования</t>
  </si>
  <si>
    <t>99 9 00 88020</t>
  </si>
  <si>
    <t>МП "Укрепление общественного здоровья населения в Кяхтинском районе Республики Бурятия на 2020-2022 годы"</t>
  </si>
  <si>
    <t>Муниципальная программа "Укрепление общественного здоровья населения в Кяхтинском районе Республики Бурятия на 2020-2022 годы"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</si>
  <si>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</si>
  <si>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</si>
  <si>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бюджетам муниципальных образований на реализацию мероприятий по обеспечению комплексного развития сельских территорий(улучшение жилищных условий граждан, проживающих на сельских территориях).</t>
  </si>
  <si>
    <t>5110272И90</t>
  </si>
  <si>
    <t>5120272Л30</t>
  </si>
  <si>
    <t>ФБ</t>
  </si>
  <si>
    <t>Муниципальная программа "Энергосбережение и повышение энергетической эффективности в муниципальном образовании "Кяхтинский район" на 2021-2023 годы»</t>
  </si>
  <si>
    <t>Муниципальная программа " Молодежь Кяхтинского района" на 2021-2023 годы</t>
  </si>
  <si>
    <t xml:space="preserve">Подпрограмма «Оказание молодым семьям и молодым специалистам государственной поддержки для улучшения жилищных условий» на 2021 - 2023 годы </t>
  </si>
  <si>
    <t xml:space="preserve">Подпрограмма "Мероприятия по молодежной политике"на 2021-2023 годы </t>
  </si>
  <si>
    <t xml:space="preserve">Муниципальная программа "Развитие отрасли "Культура" МО "Кяхтинский район" на 2021-2023 гг." </t>
  </si>
  <si>
    <t>Муниципальная программа "Совершенствование муниципального управления в муниципальном образовании  "Кяхтинский район"на 2021-2023 годы "</t>
  </si>
  <si>
    <t>Подпрограмма "Развитие муниципальной службы в МО "Кяхтинский район" на 2021-2023 годы"</t>
  </si>
  <si>
    <t>Подпрограмма "Развитие территориального общественного самоуправления в МО "Кяхтинский район" на 2021-2023 годы"</t>
  </si>
  <si>
    <t>Подпрограмма "Профилактика преступлений и иных правонарушений в Кяхтинском районе Республики Бурятия на 2021-2023 г"</t>
  </si>
  <si>
    <t xml:space="preserve">Муниципальная программа "Безопасность жизнедеятельности в МО "Кяхтинский район" на 2021-2023годы" </t>
  </si>
  <si>
    <t>Муниципальная программа "Развитие физической культуры и спорта в МО "Кяхтинский район" на 2021-2023 годы "</t>
  </si>
  <si>
    <t>Муниципальная программа "Организация общественных и временных работ в МО " Кяхтинский район"  на 2021-2023гг"</t>
  </si>
  <si>
    <t>999 00 73090</t>
  </si>
  <si>
    <t>999 00 95500</t>
  </si>
  <si>
    <t>999 00 S2310</t>
  </si>
  <si>
    <t>999 00 95600</t>
  </si>
  <si>
    <t>99900 83010</t>
  </si>
  <si>
    <t>999 00 73020</t>
  </si>
  <si>
    <t>999 00 83020</t>
  </si>
  <si>
    <t>999 00 73030</t>
  </si>
  <si>
    <t>999 00 73040</t>
  </si>
  <si>
    <t>99900 S2К90</t>
  </si>
  <si>
    <t>9990072Л10</t>
  </si>
  <si>
    <t>99900S2В40</t>
  </si>
  <si>
    <t>99900 00000</t>
  </si>
  <si>
    <t xml:space="preserve">Местным бюджетам на обеспечение прав детей, находящихся в трудной жизненной ситуации, на отдых и оздоровление </t>
  </si>
  <si>
    <t>Субвенции местным бюджетам на обеспечение прав детей находящихся в трудной жизненной ситуации, на организацию деятельности</t>
  </si>
  <si>
    <t>99000 00000</t>
  </si>
  <si>
    <t>Бюджетам муниципальных районов(городских округов) на софинансирование расходных обязательств муниципальных районов(городских округов) на содержание и обеспечение деятельности(оказание услуг) муниципальных учреждений</t>
  </si>
  <si>
    <t>Софинансирование из местного бюджета бюджетам муниципальных районов(городских округов) на софинансирование расходных обязательств муниципальных районов(городских округов) на содержание и обеспечение деятельности(оказание услуг) муниципальных учреждений</t>
  </si>
  <si>
    <t>999 00 S2140</t>
  </si>
  <si>
    <t>ФБ 171,3</t>
  </si>
  <si>
    <t>ФБ 34568,1</t>
  </si>
  <si>
    <t>2023 год</t>
  </si>
  <si>
    <t>934,936</t>
  </si>
  <si>
    <t xml:space="preserve">На обеспечение профессиональной переподготовки, повышения квалификации глав муниципальных образований и муниципальных служащих </t>
  </si>
  <si>
    <t xml:space="preserve">Муниципальная программа "Развитие физической культуры и спорта в МО "Кяхтинский район"на 2021-2023 годы </t>
  </si>
  <si>
    <t>Муниципальная программа "Развитие отрасли "Культура" МО "Кяхтинский район" на 2021-2023 гг.</t>
  </si>
  <si>
    <t>999 00 73140</t>
  </si>
  <si>
    <t>999 00 73190</t>
  </si>
  <si>
    <t>999 00 83040</t>
  </si>
  <si>
    <t xml:space="preserve">Иные межбюджетные трансферты поселениям </t>
  </si>
  <si>
    <t>Софинансирование из местного бюджета для реализации муниципальной программы  "Формирование современной городской среды МО "Кяхтинский район" на 2018-2022 года"</t>
  </si>
  <si>
    <t>07 0 00 00000</t>
  </si>
  <si>
    <t>07 1 00 00000</t>
  </si>
  <si>
    <t xml:space="preserve">Оказание услуг по реализации общеобразовательных программ дошкольного образования (детские сады), в том числе на содержание имущества </t>
  </si>
  <si>
    <t>07 1 01 00000</t>
  </si>
  <si>
    <t>07 1 01 83010</t>
  </si>
  <si>
    <t>07 1 01 73020</t>
  </si>
  <si>
    <t>Оказание услуг по предоставлению общедоступного и бесплатного начального, общего, основного общего, среднего общего образования</t>
  </si>
  <si>
    <t>07000 00000</t>
  </si>
  <si>
    <t>07200 0000</t>
  </si>
  <si>
    <t>0720200000</t>
  </si>
  <si>
    <t>07202S2890</t>
  </si>
  <si>
    <t>07202 83020</t>
  </si>
  <si>
    <t>07202 73020</t>
  </si>
  <si>
    <t>07202 73030</t>
  </si>
  <si>
    <t>07202 73040</t>
  </si>
  <si>
    <t>0720272Л10</t>
  </si>
  <si>
    <t>07202 S2К90</t>
  </si>
  <si>
    <t>07202S2В40</t>
  </si>
  <si>
    <t>07202 S2В40</t>
  </si>
  <si>
    <t>Оказание услуг по организации летнего отдыха, оздоровления и занятости детей и подростков</t>
  </si>
  <si>
    <t>07300 00000</t>
  </si>
  <si>
    <t>Оказание услуг по  реализации образовательных программ дополнительного образования, в том числе на содержание имущества</t>
  </si>
  <si>
    <t>07303 00000</t>
  </si>
  <si>
    <t>07303 S2120</t>
  </si>
  <si>
    <t>07303 83030</t>
  </si>
  <si>
    <t>07303 S2Е50</t>
  </si>
  <si>
    <t>07400 0000</t>
  </si>
  <si>
    <t>07404 00000</t>
  </si>
  <si>
    <t>07404 83040</t>
  </si>
  <si>
    <t>07404 73050</t>
  </si>
  <si>
    <t>07404 73140</t>
  </si>
  <si>
    <t>07404 73190</t>
  </si>
  <si>
    <t>07500 20003</t>
  </si>
  <si>
    <t>оказание услуг по организации подготовки и проведения государственной(итоговой) аттестации выпускников IX и XI(XII) классов.</t>
  </si>
  <si>
    <t>07505 20003</t>
  </si>
  <si>
    <t>Подпрограмма "Другие вопросы в области образования в муниципальном образовании «Кяхтинский район» на 2021 – 2022 г.г."</t>
  </si>
  <si>
    <t>Обеспечение деятельности  функционирования образовательных учреждений (аппарат управления, учебно-методические кабинеты, централизованные бухгалтерии)</t>
  </si>
  <si>
    <t>07600 00000</t>
  </si>
  <si>
    <t>07606 00000</t>
  </si>
  <si>
    <t>07606 91000</t>
  </si>
  <si>
    <t>07606 91020</t>
  </si>
  <si>
    <t>60  000 00000</t>
  </si>
  <si>
    <t>60 0 00 00000</t>
  </si>
  <si>
    <t xml:space="preserve">Иные межбюджетные трансферты на первоочередные расходы сельских и городских поселений </t>
  </si>
  <si>
    <t>66 1 00 00000</t>
  </si>
  <si>
    <t>60  001 00000</t>
  </si>
  <si>
    <t>60  001 60007</t>
  </si>
  <si>
    <t>60 002 60007</t>
  </si>
  <si>
    <t>66 1 02 00000</t>
  </si>
  <si>
    <t>66 1 02 S2870</t>
  </si>
  <si>
    <t>60002 73090</t>
  </si>
  <si>
    <t>60002 00000</t>
  </si>
  <si>
    <t>33 0 00 00000</t>
  </si>
  <si>
    <t>12 0 00 0000</t>
  </si>
  <si>
    <t>06 000 00000</t>
  </si>
  <si>
    <t>55 0 00 00000</t>
  </si>
  <si>
    <t>Муниципальная программа "Энергосбережение и повышение энергетической эффективности в муниципальном образовании "Кяхтинский район"на 2021-2023 года»</t>
  </si>
  <si>
    <t>Предоставление социальных выплат молодым семьям  на приобретение (строительство жилья)</t>
  </si>
  <si>
    <t>11 1 00 00000</t>
  </si>
  <si>
    <t>12 0 01 00000</t>
  </si>
  <si>
    <t>12 0 01 L5760</t>
  </si>
  <si>
    <t>30000 00000</t>
  </si>
  <si>
    <t>30004 00000</t>
  </si>
  <si>
    <t>30004 84600</t>
  </si>
  <si>
    <t>66 2 03 00000</t>
  </si>
  <si>
    <t>66 2 03 54003</t>
  </si>
  <si>
    <t>12001L5760</t>
  </si>
  <si>
    <t>Проведение выборов главы муниципального образования, депутатов представительного органа</t>
  </si>
  <si>
    <t>Комплексное развитие строительного и жилищно-коммунального комплекса, повышение качества жилищно-коммунальных услуг МО "Кяхтинский район"</t>
  </si>
  <si>
    <t>Повышение эффективности использования муниципального имущества и земель МО "Кяхтинский район", позволяющее максимизировать пополнение доходной части бюджета .</t>
  </si>
  <si>
    <t>07606 83040</t>
  </si>
  <si>
    <t>07606 73160</t>
  </si>
  <si>
    <t>07606 73060</t>
  </si>
  <si>
    <t>07606 S2160</t>
  </si>
  <si>
    <t>Повышение эффективности управления муниципальными финансами</t>
  </si>
  <si>
    <t>Предоставление межбюджетных трансфертов муниципальным образованиям</t>
  </si>
  <si>
    <t>Создание условий для профессионального развития и подготовки кадров муниципальной службы</t>
  </si>
  <si>
    <t>Меропрития по повышению противопожарной защиты и соблюдению первичных мер пожарной безопасности</t>
  </si>
  <si>
    <t>Создание условий для производства продукции  в отраслях сельского хзяйства</t>
  </si>
  <si>
    <t>Улучшение инвестиционного климата</t>
  </si>
  <si>
    <t>Проведение профилактической работы среди населения по безопасности дорожного движения и создания условий для обеспечения дорожной деятельности в отношении автомобильных дорого местного значения в границах населенных пунктов поселений</t>
  </si>
  <si>
    <t>Мероприятия по профилактике преступления и иных правонарушений</t>
  </si>
  <si>
    <t xml:space="preserve">Улучшение развития деятельности по отрасли "Культура" </t>
  </si>
  <si>
    <t>Работа с детьми и молодежью Кяхтинского района</t>
  </si>
  <si>
    <t>Мероприятия по улучшению энергосбережения и повышение энергетической эффективности.</t>
  </si>
  <si>
    <t xml:space="preserve"> Привлечение жителей района к ведению здорового образа жизни</t>
  </si>
  <si>
    <t>Организация и проведение спортивно-массовых,  физкультурно-оздоровительных мероприятий</t>
  </si>
  <si>
    <t>Развитие территориальных общественных самоуправлений</t>
  </si>
  <si>
    <t>Мероприятия по организации общественных и временных работ</t>
  </si>
  <si>
    <t>Создание благоприятных , комфортных и безопасных условий проживания населения, развитие и обустройство мест массового отдыха населения</t>
  </si>
  <si>
    <t>Мероприятия по благоустройству сельских территорий</t>
  </si>
  <si>
    <t>60 0 01 00000</t>
  </si>
  <si>
    <t>07 1 01 73180</t>
  </si>
  <si>
    <t>07 2 02 83020</t>
  </si>
  <si>
    <t>07 2 02 00000</t>
  </si>
  <si>
    <t>07 2 00 0000</t>
  </si>
  <si>
    <t>07 2 02 73030</t>
  </si>
  <si>
    <t>07 2 02 73020</t>
  </si>
  <si>
    <t>07 2 02 73040</t>
  </si>
  <si>
    <t>07 2 02 S2890</t>
  </si>
  <si>
    <t>07 2 02 S2В40</t>
  </si>
  <si>
    <t>07 2 02 72Л10</t>
  </si>
  <si>
    <t>07 2 02 S2К90</t>
  </si>
  <si>
    <t>51201 53030</t>
  </si>
  <si>
    <t>07 3 03 83030</t>
  </si>
  <si>
    <t>07 3 03 S2Е50</t>
  </si>
  <si>
    <t>07 3 03 S2120</t>
  </si>
  <si>
    <t>07 3 03 73180</t>
  </si>
  <si>
    <t>07 4 04 83040</t>
  </si>
  <si>
    <t>07 4 04 73050</t>
  </si>
  <si>
    <t>07 4 04 73140</t>
  </si>
  <si>
    <t>07 4 04 73190</t>
  </si>
  <si>
    <t>07 5 05 20003</t>
  </si>
  <si>
    <t>07 5 00 20003</t>
  </si>
  <si>
    <t>075 05 20003</t>
  </si>
  <si>
    <t>07,10</t>
  </si>
  <si>
    <t>01,03</t>
  </si>
  <si>
    <t>06 0 00 00000</t>
  </si>
  <si>
    <t>30 0 04 84600</t>
  </si>
  <si>
    <t>07,08</t>
  </si>
  <si>
    <t xml:space="preserve">Развитие деятельности по отрасли "Культура"(в том числе содержание имущества). </t>
  </si>
  <si>
    <t>Мероприятия по профилактике преступления и иных правонврушений</t>
  </si>
  <si>
    <t>11 0 0 00000</t>
  </si>
  <si>
    <t>01,02,03</t>
  </si>
  <si>
    <t>04,10,14</t>
  </si>
  <si>
    <t>03,05</t>
  </si>
  <si>
    <t>Меропрития по благоустройству сельских территорий</t>
  </si>
  <si>
    <t>12 0 01 0000</t>
  </si>
  <si>
    <t>04,05</t>
  </si>
  <si>
    <t>02,12</t>
  </si>
  <si>
    <t>60 1 01 60007</t>
  </si>
  <si>
    <t>60 1 00 00000</t>
  </si>
  <si>
    <t>60 0 02 00000</t>
  </si>
  <si>
    <t>60 0 02 73090</t>
  </si>
  <si>
    <t>60 0 02 60007</t>
  </si>
  <si>
    <t>07303 73180</t>
  </si>
  <si>
    <t>999 00 73180</t>
  </si>
  <si>
    <t>999 00 00000</t>
  </si>
  <si>
    <t>Приложение 9</t>
  </si>
  <si>
    <t>на 2021 год и плановый период 2022-2023 годов »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</si>
  <si>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бюджетов на 2021 год</t>
  </si>
  <si>
    <t>на 2021 год и плановый период 2022 и 2023 годов »</t>
  </si>
  <si>
    <t xml:space="preserve">от                     2020года № </t>
  </si>
  <si>
    <t>60 2 02 73090</t>
  </si>
  <si>
    <t>60 2 02 60007</t>
  </si>
  <si>
    <t>Программа муниципальных внутренних заимствований  муниципального образования "Кяхтинский район" на 2021 год</t>
  </si>
  <si>
    <t>Программа муниципальных внутренних заимствований  муниципального образования "Кяхтинский район" на 2022 и 2023 годы.</t>
  </si>
  <si>
    <t>Программа муниципальных гарантий муниципального образования "Кяхтинский район"на 2021год</t>
  </si>
  <si>
    <t>Программа муниципальных гарантий муниципального образования "Кяхтинский район"на 2022-2023 годы</t>
  </si>
  <si>
    <t>Источники финансирования дефицита бюджета муниципального образования "Кяхтинский район" на 2021 год</t>
  </si>
  <si>
    <t>Источники финансирования дефицита бюджета муниципального образования "Кяхтинский район" на 2022 и 2023 годы</t>
  </si>
  <si>
    <t>на 2021 год и плановый период 2022 и 2023 годов»</t>
  </si>
  <si>
    <t xml:space="preserve">от                          2020 года № </t>
  </si>
  <si>
    <t xml:space="preserve">от              2020 года № </t>
  </si>
  <si>
    <t xml:space="preserve">от                 2020 года № </t>
  </si>
  <si>
    <t>План 2023 год</t>
  </si>
  <si>
    <t>Налоговые и неналоговые доходы бюджета МО "Кяхтинский район" на 2022-2023  годы</t>
  </si>
  <si>
    <t xml:space="preserve">от     2020 года № </t>
  </si>
  <si>
    <t>от                            2020 года №</t>
  </si>
  <si>
    <t xml:space="preserve">от                  2020 года № </t>
  </si>
  <si>
    <t>Объем безвозмездных поступлений на 2022-2023 годы</t>
  </si>
  <si>
    <t>План на 2023 год (тыс.руб)</t>
  </si>
  <si>
    <t>План на 23 год (тыс.руб)</t>
  </si>
  <si>
    <t>Ведомственная структура расходов бюджета муниципального образования "Кяхтинский район" на 2021 год</t>
  </si>
  <si>
    <t xml:space="preserve">от                     2020 года № </t>
  </si>
  <si>
    <t>Ведомственная структура расходов бюджета муниципального образования "Кяхтинский район" на 2022 и 2023 годы</t>
  </si>
  <si>
    <t xml:space="preserve">2023 год </t>
  </si>
  <si>
    <t>на 2021 год и плановый период 2022 и 2023 годов</t>
  </si>
  <si>
    <t xml:space="preserve">от            2020 года № </t>
  </si>
  <si>
    <t xml:space="preserve">от                       2020 года № </t>
  </si>
  <si>
    <t>2023г</t>
  </si>
  <si>
    <t>Распределение бюджетных ассигнований на реализацию муниципальных программ муниципального образования "Кяхтинский район"на 2021 год</t>
  </si>
  <si>
    <t>2.Распределения иных межбюджетных трансфертов бюджетам поселений, входящих в состав муниципального района  на  2021 год</t>
  </si>
  <si>
    <t>2022год</t>
  </si>
  <si>
    <t xml:space="preserve">Распределение дотаций на выравнивание бюджетной обеспеченности поселений из бюджета муниципального района                       на 2022-2023 годы </t>
  </si>
  <si>
    <t>Распределения иных межбюджетных трансфертов бюджетам поселений, входящих в состав муниципального района  на  2022-2023 годы</t>
  </si>
  <si>
    <t xml:space="preserve">от                    2020 года № </t>
  </si>
  <si>
    <t xml:space="preserve">Распределения иных межбюджетных трансфертов на первоочередные расходы сельских и городских поселений                               на 2022-2023 годы  </t>
  </si>
  <si>
    <t>2023 г.</t>
  </si>
  <si>
    <t>934,937</t>
  </si>
  <si>
    <t>06 0 00 Д0200</t>
  </si>
  <si>
    <t>Проведение профилактической работы среди населения по безопасности дорожного движения и создания условий для обеспечения дорожной деятельности в отношении автомобильных дорог местного значения в границах населенных пунктов поселений</t>
  </si>
  <si>
    <t>06 000Д0200</t>
  </si>
  <si>
    <t>Муниципальная программа ""Безопасность жизнедеятельности в МО "Кяхтинский район" на 2021-2023 годы "</t>
  </si>
  <si>
    <t xml:space="preserve"> Подпрограмма "Обеспечение деятельности администрации МО "Кяхтинский район"</t>
  </si>
  <si>
    <t>Обеспечение  деятельности Администрации МО «Кяхтинский район( в том числе содержание имущества)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</si>
  <si>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</si>
  <si>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</si>
  <si>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</si>
  <si>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</si>
  <si>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1 16 01053 00 0000 140</t>
  </si>
  <si>
    <t>1 16 01063 00 0000 140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</si>
  <si>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</si>
  <si>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1 16 01073 00 0000 140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</si>
  <si>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</si>
  <si>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1 16 01083 00 0000 140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</si>
  <si>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</si>
  <si>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1 16 01143 00 0000 140</t>
  </si>
  <si>
    <t>1 16  01153 00 0000 140</t>
  </si>
  <si>
    <t>1 16 01163 00 00000 140</t>
  </si>
  <si>
    <t>1 16 01173 00 00000 140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</si>
  <si>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</si>
  <si>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1 16 01193 00 0000 140</t>
  </si>
  <si>
    <t>1 16 01203 00 0000 140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</si>
  <si>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</si>
  <si>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1 16 10123 00 0000 140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</si>
  <si>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</si>
  <si>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</si>
  <si>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</si>
  <si>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1 16 11050 00 0000 140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</si>
  <si>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</si>
  <si>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</si>
  <si>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1 16 07090 05 0000 140</t>
  </si>
  <si>
    <r>
      <t>Административные штрафы, установленные</t>
    </r>
    <r>
      <rPr>
        <b/>
        <sz val="9"/>
        <rFont val="Times New Roman"/>
        <family val="1"/>
        <charset val="204"/>
      </rPr>
      <t xml:space="preserve"> Главой 5</t>
    </r>
    <r>
      <rPr>
        <sz val="9"/>
        <rFont val="Times New Roman"/>
        <family val="1"/>
        <charset val="204"/>
      </rPr>
      <t xml:space="preserve">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  </r>
  </si>
  <si>
    <r>
      <t>Административные штрафы, установленные</t>
    </r>
    <r>
      <rPr>
        <b/>
        <sz val="9"/>
        <rFont val="Times New Roman"/>
        <family val="1"/>
        <charset val="204"/>
      </rPr>
      <t xml:space="preserve"> Главой 14</t>
    </r>
    <r>
      <rPr>
        <sz val="9"/>
        <rFont val="Times New Roman"/>
        <family val="1"/>
        <charset val="204"/>
      </rPr>
      <t xml:space="preserve">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</t>
    </r>
  </si>
  <si>
    <r>
      <t>Административные штрафы, установленные</t>
    </r>
    <r>
      <rPr>
        <b/>
        <sz val="9"/>
        <rFont val="Times New Roman"/>
        <family val="1"/>
        <charset val="204"/>
      </rPr>
      <t xml:space="preserve"> Главой 15 </t>
    </r>
    <r>
      <rPr>
        <sz val="9"/>
        <rFont val="Times New Roman"/>
        <family val="1"/>
        <charset val="204"/>
      </rPr>
      <t>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  </r>
  </si>
  <si>
    <r>
      <t>Административные штрафы, установленные</t>
    </r>
    <r>
      <rPr>
        <b/>
        <sz val="9"/>
        <rFont val="Times New Roman"/>
        <family val="1"/>
        <charset val="204"/>
      </rPr>
      <t xml:space="preserve"> Главой 16</t>
    </r>
    <r>
      <rPr>
        <sz val="9"/>
        <rFont val="Times New Roman"/>
        <family val="1"/>
        <charset val="204"/>
      </rPr>
      <t xml:space="preserve">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</t>
    </r>
  </si>
  <si>
    <r>
      <t xml:space="preserve">Административные штрафы, установленные </t>
    </r>
    <r>
      <rPr>
        <b/>
        <sz val="9"/>
        <rFont val="Times New Roman"/>
        <family val="1"/>
        <charset val="204"/>
      </rPr>
      <t>Главой 19</t>
    </r>
    <r>
      <rPr>
        <sz val="9"/>
        <rFont val="Times New Roman"/>
        <family val="1"/>
        <charset val="204"/>
      </rPr>
      <t xml:space="preserve">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</t>
    </r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</si>
  <si>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</si>
  <si>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1 16 02020 00 0000 140</t>
  </si>
  <si>
    <t>0</t>
  </si>
  <si>
    <t xml:space="preserve">от                                 2020 года № </t>
  </si>
  <si>
    <t>от                      2020года №</t>
  </si>
  <si>
    <t xml:space="preserve">от                   2020 года № </t>
  </si>
  <si>
    <t>Распределение иных межбюджетных трансфертов на проведение выборов главы муниципального образования, депутатов представительного органа бюджетам поселений, входящим в состав муниципального района на 2021 год</t>
  </si>
  <si>
    <t xml:space="preserve">Распределение дотаций на выравнивание бюджетной обеспеченности поселений из бюджета муниципального района на 2021 год   </t>
  </si>
  <si>
    <t xml:space="preserve">от                   2020года № </t>
  </si>
  <si>
    <t>1. Перечень подлежащих предоставлению муницпальных гарантий муницирального образования "Кяхтинский район" на 2021 год.</t>
  </si>
  <si>
    <t>2. Общий объем бюджетных ассигнований, предусмотренных на исполнение муниципальных гарантий МО "Кяхтинский район" по возможным гарантийным случаям на 2021 год</t>
  </si>
  <si>
    <t>1. Перечень подлежащих предоставлению муницпальных гарантий муницирального образования "Кяхтинский район" на 2022-2023 годы.</t>
  </si>
  <si>
    <t>2. Общий объем бюджетных ассигнований, предусмотренных на исполнение муниципальных гарантий МО "Кяхтинский район" по возможным гарантийным случаям на 2022-2023 годы</t>
  </si>
  <si>
    <t>от              2020года №</t>
  </si>
  <si>
    <t>60 002 S2160</t>
  </si>
  <si>
    <t>Таблица 2.2</t>
  </si>
  <si>
    <t xml:space="preserve">Распределение иных межбюджетных трансфертов бюджетам муниципальных районов(городских округов) на софинансирование расходных обязательств муниципальных районов(городских округов) на содержание и обеспечение деятельности(оказание услуг) муниципальных учреждений бюджетам поселений, входящим в состав муниципального района </t>
  </si>
  <si>
    <t xml:space="preserve">Распределение иных межбюджетных трансфертов  на софинансирование из местного бюджета бюджетам муниципальных районов(городских округов) на софинансирование расходных обязательств муниципальных районов(городских округов) на содержание и обеспечение деятельности(оказание услуг) муниципальных учреждений бюджетам поселений, входящим в состав муниципального района </t>
  </si>
  <si>
    <t>Таблица 2.3</t>
  </si>
  <si>
    <t>Таблица 2.4</t>
  </si>
  <si>
    <t>66 3 00 S2160</t>
  </si>
  <si>
    <t>07202 S2160</t>
  </si>
  <si>
    <t>Подпрограмма "Укрепление материально-технической базы и усиление комплексной безопасности образовательных учреждений на 2020-2022 годы"</t>
  </si>
  <si>
    <t>Укрепление материально-технической базы и мероприятия по комплексной безопасности образовательных учреждений</t>
  </si>
  <si>
    <t>Подпрограмма "Кадровое обеспечение системы образования на 2020-2022 годы"</t>
  </si>
  <si>
    <t xml:space="preserve">Обслуживание государственного и муниципального долга </t>
  </si>
  <si>
    <t>Обслуживание муниципального долга</t>
  </si>
  <si>
    <t>730</t>
  </si>
  <si>
    <t>0770783060</t>
  </si>
  <si>
    <t xml:space="preserve">07 7 00 0000 </t>
  </si>
  <si>
    <t>07 7 07 00000</t>
  </si>
  <si>
    <t>07 8 00 00000</t>
  </si>
  <si>
    <t>07 8 08 00000</t>
  </si>
  <si>
    <t xml:space="preserve">07 7 00 00000 </t>
  </si>
  <si>
    <t>07808S2890</t>
  </si>
  <si>
    <t>07 1 01 S2160</t>
  </si>
  <si>
    <t>07303 S2160</t>
  </si>
  <si>
    <t>07404 S2160</t>
  </si>
  <si>
    <t>07 8 0883070</t>
  </si>
  <si>
    <t>Организация проведения мероприятий  кадровой политики в сфере образования</t>
  </si>
  <si>
    <t>Обеспечение муниципальных общеобразовательных организаций педагогическими работниками</t>
  </si>
  <si>
    <t>Мероприятия по укреплению материально-технической базы и  по комплексной безопасности  учреждений отрасли "Образование"</t>
  </si>
  <si>
    <t xml:space="preserve">Обслуживание государственного внутреннего и муниципального долга </t>
  </si>
  <si>
    <t>01,02</t>
  </si>
  <si>
    <t>02,09</t>
  </si>
  <si>
    <t>073 03 83030</t>
  </si>
  <si>
    <t>ФБ 1612,7     РБ403,3</t>
  </si>
  <si>
    <t>ФБ 10701,4     РБ 218,4</t>
  </si>
  <si>
    <t xml:space="preserve">Субсидии на мероприятия по организации бесплатного горячего питания обучающихся,получающих начальное общее образование в муниципальных образовательных организациях </t>
  </si>
  <si>
    <t xml:space="preserve"> Субсидии  на организацию горячего питания обучающихся, получающих основное общее, среднее общее образование в муниципальных образовательных организациях</t>
  </si>
  <si>
    <t>Субсидии на софинансирование расходных обязательств муниципальных районов (городских округов) на содержание и обеспечение деятельности (оказание услуг) муниципальных учреждений</t>
  </si>
  <si>
    <t xml:space="preserve">Субсидии на строительство и реконструкцию (модернизацию объектов питьевого водоснабжения </t>
  </si>
  <si>
    <t>ФБ 44034 РБ 898,6</t>
  </si>
  <si>
    <t>Субсидии на приобретение объектов недвижимого имущества в муниципальную собтвенность в отрасли образование</t>
  </si>
  <si>
    <t xml:space="preserve">Субсидии  на реализацию мероприятий по сокращению наркосырьевой базы, в том числе с применением химического способа уничтожения дикорастущей конопли </t>
  </si>
  <si>
    <t xml:space="preserve">Субсидии на обеспечение компенсации питания родителям (законным представителям) обучающихся в муниципальных 
общеобразовательных организациях, имеющих статус обучающихся с ограниченными возможностями здоровья, обучение которых 
организовано на дому
</t>
  </si>
  <si>
    <t xml:space="preserve">Субвенции  на администрирование передаваемых органам местного самоуправления государственных полномочий по Закону Республики Бурятия от 8 июля 2008 года N 394-IV "О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образования" </t>
  </si>
  <si>
    <t xml:space="preserve"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 </t>
  </si>
  <si>
    <t xml:space="preserve">Субвенции на организацию и обеспечение отдыха и оздоровления детей в загородных стационарных детских оздоровительных лагерях, оздоровительных лагерях с дневным пребыванием и иных детских лагерях сезонного действия (за исключением загородных стационарных детских оздоровительных лагерей), за исключением организации отдыха детей в каникулярное время и обеспечения прав детей, находящихся в трудной жизненной ситуации, на отдых и оздоровление </t>
  </si>
  <si>
    <t xml:space="preserve">Иные межбюджетные трансферты на комплектование книжных фондов муниципальных библиотек </t>
  </si>
  <si>
    <t>ФБ 1773,6 РБ474,1            ФБ 1836,3  РБ 533,4</t>
  </si>
  <si>
    <t>ФБ 10490,2 РБ 214,1</t>
  </si>
  <si>
    <t>ФБ 22610,6 РБ 461,4</t>
  </si>
  <si>
    <t>ФБ 37180,7 РБ 6910</t>
  </si>
  <si>
    <t xml:space="preserve">Субсидии на организацию бесплатного горячего питания обучающихся, получающих начальное общее образование в
 государственных и муниципальных образовательных организациях 
</t>
  </si>
  <si>
    <t>11 0 00 73180</t>
  </si>
  <si>
    <t>На обеспечение компенсации питания родителям (законным представителям) обучающихся в муниципальных 
общеобразовательных организациях, имеющих статус обучающихся с ограниченными возможностями здоровья, обучение которых 
организовано на дому</t>
  </si>
  <si>
    <t>07202S2Л40</t>
  </si>
  <si>
    <t xml:space="preserve">На реализацию мероприятий по сокращению наркосырьевой базы, в том числе с применением химического способа уничтожения дикорастущей конопли </t>
  </si>
  <si>
    <t xml:space="preserve"> Софинансирование из местного бюджета на реализацию мероприятий по сокращению наркосырьевой базы, в том числе с применением химического способа уничтожения дикорастущей конопли </t>
  </si>
  <si>
    <t>66 4 00S2570</t>
  </si>
  <si>
    <t xml:space="preserve"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</si>
  <si>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</si>
  <si>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Софинансирование из местного бюджета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</si>
  <si>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51202L3040</t>
  </si>
  <si>
    <t xml:space="preserve">На строительство и реконструкцию (модернизацию объектов питьевого водоснабжения </t>
  </si>
  <si>
    <t>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</si>
  <si>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10,11</t>
  </si>
  <si>
    <t xml:space="preserve">На комплектование книжных фондов муниципальных библиотек </t>
  </si>
  <si>
    <t>80 0 00 L5190</t>
  </si>
  <si>
    <t>Улучшение инвестиционного климата в муниципальном районе "Кяхтинский район"</t>
  </si>
  <si>
    <t xml:space="preserve"> Подпрограмма "Обеспечение деятельности администрации МО "Кяхтинский район" ( в том числе содержание административно-хозяйственной части)</t>
  </si>
  <si>
    <t>Поправки на 2022 год</t>
  </si>
  <si>
    <t>Поправки на 2023 год</t>
  </si>
  <si>
    <t>Таблица 2.5</t>
  </si>
  <si>
    <t>Распределение иных межбюджетных трансфертов в рамках муниципальной программы «Комплексное развитие сельских территорий МО "Кяхтинского район» на 2020-2022 годы»</t>
  </si>
  <si>
    <t>Таблица 2.6</t>
  </si>
  <si>
    <t>Распределение иных межбюджетных трансфертов в рамках муниципальной программы « Организация общественных и временных работ в МО " Кяхтинский район"  на 2021-2023гг"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</si>
</sst>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0.0"/>
    <numFmt numFmtId="165" formatCode="#,##0.00000"/>
    <numFmt numFmtId="166" formatCode="#,##0.0"/>
    <numFmt numFmtId="167" formatCode="#,##0.0_ ;\-#,##0.0\ "/>
    <numFmt numFmtId="168" formatCode="0.00000"/>
    <numFmt numFmtId="169" formatCode="0.000000"/>
    <numFmt numFmtId="170" formatCode="0.000"/>
    <numFmt numFmtId="171" formatCode="#,##0.000000"/>
    <numFmt numFmtId="172" formatCode="0.0%"/>
    <numFmt numFmtId="173" formatCode="0.0000"/>
  </numFmts>
  <fonts count="6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sz val="8"/>
      <name val="Arial"/>
      <family val="2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8"/>
      <name val="Arial"/>
      <family val="2"/>
    </font>
    <font>
      <b/>
      <i/>
      <sz val="12"/>
      <color indexed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i/>
      <sz val="9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A0A0A"/>
      <name val="Times New Roman"/>
      <family val="1"/>
      <charset val="204"/>
    </font>
    <font>
      <sz val="11"/>
      <color rgb="FF0A0A0A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A0A0A"/>
      <name val="Times New Roman"/>
      <family val="1"/>
      <charset val="204"/>
    </font>
    <font>
      <sz val="14"/>
      <color rgb="FF000000"/>
      <name val="Yandex-sans"/>
    </font>
    <font>
      <sz val="11"/>
      <color rgb="FF000000"/>
      <name val="Times New Roman"/>
      <family val="1"/>
      <charset val="204"/>
    </font>
    <font>
      <sz val="12"/>
      <color rgb="FF0A0A0A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24" fillId="0" borderId="0"/>
    <xf numFmtId="0" fontId="24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0" borderId="0"/>
  </cellStyleXfs>
  <cellXfs count="924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4" fillId="0" borderId="0" xfId="0" applyFont="1"/>
    <xf numFmtId="0" fontId="5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49" fontId="9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0" fontId="3" fillId="0" borderId="0" xfId="0" applyFont="1"/>
    <xf numFmtId="0" fontId="12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/>
    <xf numFmtId="0" fontId="3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Fill="1"/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" xfId="3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 applyAlignment="1"/>
    <xf numFmtId="0" fontId="5" fillId="0" borderId="2" xfId="0" applyFont="1" applyBorder="1" applyAlignment="1"/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 vertical="top" wrapText="1"/>
    </xf>
    <xf numFmtId="167" fontId="4" fillId="0" borderId="1" xfId="0" applyNumberFormat="1" applyFont="1" applyBorder="1" applyAlignment="1"/>
    <xf numFmtId="164" fontId="5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wrapText="1"/>
    </xf>
    <xf numFmtId="0" fontId="20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/>
    <xf numFmtId="164" fontId="5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23" fillId="0" borderId="0" xfId="0" applyFont="1"/>
    <xf numFmtId="0" fontId="4" fillId="2" borderId="0" xfId="0" applyFont="1" applyFill="1"/>
    <xf numFmtId="0" fontId="17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6" fillId="2" borderId="0" xfId="0" applyFont="1" applyFill="1"/>
    <xf numFmtId="0" fontId="16" fillId="2" borderId="0" xfId="0" applyFont="1" applyFill="1"/>
    <xf numFmtId="0" fontId="6" fillId="2" borderId="0" xfId="0" applyFont="1" applyFill="1" applyAlignment="1">
      <alignment wrapText="1"/>
    </xf>
    <xf numFmtId="0" fontId="7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horizontal="left" vertical="center" wrapText="1"/>
    </xf>
    <xf numFmtId="0" fontId="17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5" fillId="2" borderId="0" xfId="0" applyFont="1" applyFill="1"/>
    <xf numFmtId="0" fontId="2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6" fillId="2" borderId="0" xfId="0" applyNumberFormat="1" applyFont="1" applyFill="1"/>
    <xf numFmtId="166" fontId="6" fillId="2" borderId="0" xfId="0" applyNumberFormat="1" applyFont="1" applyFill="1"/>
    <xf numFmtId="4" fontId="6" fillId="2" borderId="0" xfId="0" applyNumberFormat="1" applyFont="1" applyFill="1"/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/>
    <xf numFmtId="4" fontId="7" fillId="2" borderId="0" xfId="0" applyNumberFormat="1" applyFont="1" applyFill="1"/>
    <xf numFmtId="4" fontId="7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6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28" fillId="2" borderId="0" xfId="0" applyFont="1" applyFill="1"/>
    <xf numFmtId="0" fontId="27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/>
    <xf numFmtId="49" fontId="28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 vertical="center"/>
    </xf>
    <xf numFmtId="165" fontId="28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/>
    <xf numFmtId="49" fontId="7" fillId="2" borderId="0" xfId="0" applyNumberFormat="1" applyFont="1" applyFill="1"/>
    <xf numFmtId="49" fontId="4" fillId="2" borderId="1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7" fillId="2" borderId="0" xfId="0" applyNumberFormat="1" applyFont="1" applyFill="1"/>
    <xf numFmtId="0" fontId="6" fillId="2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9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0" applyFont="1" applyAlignment="1"/>
    <xf numFmtId="0" fontId="28" fillId="4" borderId="0" xfId="0" applyFont="1" applyFill="1"/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27" fillId="0" borderId="0" xfId="0" applyFont="1" applyFill="1"/>
    <xf numFmtId="0" fontId="26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29" fillId="2" borderId="1" xfId="0" applyFont="1" applyFill="1" applyBorder="1" applyAlignment="1">
      <alignment wrapText="1"/>
    </xf>
    <xf numFmtId="165" fontId="4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0" borderId="1" xfId="5" applyNumberFormat="1" applyFont="1" applyBorder="1" applyAlignment="1">
      <alignment wrapText="1"/>
    </xf>
    <xf numFmtId="0" fontId="28" fillId="6" borderId="1" xfId="0" applyFont="1" applyFill="1" applyBorder="1" applyAlignment="1">
      <alignment horizontal="left" vertical="center" wrapText="1"/>
    </xf>
    <xf numFmtId="0" fontId="28" fillId="6" borderId="1" xfId="0" applyFont="1" applyFill="1" applyBorder="1" applyAlignment="1">
      <alignment horizontal="center" vertical="center"/>
    </xf>
    <xf numFmtId="49" fontId="28" fillId="6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 wrapText="1"/>
    </xf>
    <xf numFmtId="165" fontId="28" fillId="6" borderId="1" xfId="0" applyNumberFormat="1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center" wrapText="1"/>
    </xf>
    <xf numFmtId="0" fontId="28" fillId="7" borderId="1" xfId="0" applyFont="1" applyFill="1" applyBorder="1" applyAlignment="1">
      <alignment horizontal="center" vertical="center"/>
    </xf>
    <xf numFmtId="49" fontId="28" fillId="7" borderId="1" xfId="0" applyNumberFormat="1" applyFont="1" applyFill="1" applyBorder="1" applyAlignment="1">
      <alignment horizontal="center" vertical="center"/>
    </xf>
    <xf numFmtId="165" fontId="28" fillId="7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center" vertical="center"/>
    </xf>
    <xf numFmtId="49" fontId="27" fillId="6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165" fontId="27" fillId="6" borderId="1" xfId="0" applyNumberFormat="1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168" fontId="16" fillId="2" borderId="0" xfId="0" applyNumberFormat="1" applyFont="1" applyFill="1"/>
    <xf numFmtId="168" fontId="4" fillId="2" borderId="0" xfId="0" applyNumberFormat="1" applyFont="1" applyFill="1"/>
    <xf numFmtId="0" fontId="8" fillId="0" borderId="0" xfId="0" applyFont="1"/>
    <xf numFmtId="165" fontId="6" fillId="8" borderId="1" xfId="0" applyNumberFormat="1" applyFont="1" applyFill="1" applyBorder="1" applyAlignment="1">
      <alignment horizontal="center" vertical="center"/>
    </xf>
    <xf numFmtId="49" fontId="28" fillId="8" borderId="1" xfId="0" applyNumberFormat="1" applyFont="1" applyFill="1" applyBorder="1" applyAlignment="1">
      <alignment horizontal="center" vertical="center"/>
    </xf>
    <xf numFmtId="165" fontId="28" fillId="8" borderId="1" xfId="0" applyNumberFormat="1" applyFont="1" applyFill="1" applyBorder="1" applyAlignment="1">
      <alignment horizontal="center" vertical="center"/>
    </xf>
    <xf numFmtId="0" fontId="28" fillId="8" borderId="0" xfId="0" applyFont="1" applyFill="1"/>
    <xf numFmtId="0" fontId="32" fillId="8" borderId="0" xfId="4" applyNumberFormat="1" applyFont="1" applyFill="1" applyBorder="1" applyAlignment="1">
      <alignment horizontal="left" wrapText="1"/>
    </xf>
    <xf numFmtId="49" fontId="6" fillId="8" borderId="1" xfId="0" applyNumberFormat="1" applyFont="1" applyFill="1" applyBorder="1" applyAlignment="1">
      <alignment horizontal="center" vertical="center"/>
    </xf>
    <xf numFmtId="165" fontId="28" fillId="8" borderId="0" xfId="0" applyNumberFormat="1" applyFont="1" applyFill="1"/>
    <xf numFmtId="0" fontId="6" fillId="8" borderId="1" xfId="0" applyFont="1" applyFill="1" applyBorder="1" applyAlignment="1">
      <alignment horizontal="left" vertical="center" wrapText="1"/>
    </xf>
    <xf numFmtId="0" fontId="6" fillId="8" borderId="0" xfId="0" applyFont="1" applyFill="1"/>
    <xf numFmtId="0" fontId="31" fillId="8" borderId="1" xfId="0" applyFont="1" applyFill="1" applyBorder="1" applyAlignment="1">
      <alignment horizontal="left" vertical="center" wrapText="1"/>
    </xf>
    <xf numFmtId="0" fontId="6" fillId="0" borderId="1" xfId="5" applyNumberFormat="1" applyFont="1" applyBorder="1" applyAlignment="1">
      <alignment horizontal="center" wrapText="1"/>
    </xf>
    <xf numFmtId="0" fontId="5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65" fontId="27" fillId="2" borderId="0" xfId="0" applyNumberFormat="1" applyFont="1" applyFill="1"/>
    <xf numFmtId="49" fontId="6" fillId="2" borderId="1" xfId="0" applyNumberFormat="1" applyFont="1" applyFill="1" applyBorder="1" applyAlignment="1">
      <alignment vertical="center"/>
    </xf>
    <xf numFmtId="0" fontId="0" fillId="8" borderId="0" xfId="0" applyFill="1"/>
    <xf numFmtId="165" fontId="0" fillId="0" borderId="0" xfId="0" applyNumberFormat="1" applyFill="1"/>
    <xf numFmtId="164" fontId="0" fillId="0" borderId="0" xfId="0" applyNumberFormat="1" applyFill="1"/>
    <xf numFmtId="0" fontId="4" fillId="0" borderId="0" xfId="0" applyFont="1" applyBorder="1" applyAlignment="1"/>
    <xf numFmtId="0" fontId="18" fillId="2" borderId="1" xfId="0" applyFont="1" applyFill="1" applyBorder="1" applyAlignment="1">
      <alignment horizontal="left" vertical="center" wrapText="1"/>
    </xf>
    <xf numFmtId="0" fontId="29" fillId="8" borderId="1" xfId="0" applyFont="1" applyFill="1" applyBorder="1" applyAlignment="1">
      <alignment horizontal="left" vertical="center" wrapText="1"/>
    </xf>
    <xf numFmtId="0" fontId="27" fillId="8" borderId="0" xfId="0" applyFont="1" applyFill="1"/>
    <xf numFmtId="0" fontId="28" fillId="8" borderId="1" xfId="0" applyFont="1" applyFill="1" applyBorder="1" applyAlignment="1">
      <alignment horizontal="left" vertical="center" wrapText="1"/>
    </xf>
    <xf numFmtId="165" fontId="27" fillId="8" borderId="1" xfId="0" applyNumberFormat="1" applyFont="1" applyFill="1" applyBorder="1" applyAlignment="1">
      <alignment horizontal="center" vertical="center"/>
    </xf>
    <xf numFmtId="0" fontId="36" fillId="0" borderId="1" xfId="5" applyNumberFormat="1" applyFont="1" applyBorder="1" applyAlignment="1">
      <alignment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>
      <alignment wrapText="1"/>
    </xf>
    <xf numFmtId="165" fontId="4" fillId="0" borderId="5" xfId="0" applyNumberFormat="1" applyFont="1" applyBorder="1" applyAlignment="1"/>
    <xf numFmtId="49" fontId="5" fillId="5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6" fillId="8" borderId="1" xfId="0" applyFont="1" applyFill="1" applyBorder="1" applyAlignment="1">
      <alignment wrapText="1"/>
    </xf>
    <xf numFmtId="165" fontId="6" fillId="0" borderId="1" xfId="5" applyNumberFormat="1" applyFont="1" applyBorder="1" applyAlignment="1">
      <alignment horizontal="center" wrapText="1"/>
    </xf>
    <xf numFmtId="0" fontId="46" fillId="0" borderId="1" xfId="0" applyFont="1" applyFill="1" applyBorder="1" applyAlignment="1">
      <alignment horizontal="left" vertical="center" wrapText="1"/>
    </xf>
    <xf numFmtId="49" fontId="46" fillId="0" borderId="1" xfId="0" applyNumberFormat="1" applyFont="1" applyFill="1" applyBorder="1" applyAlignment="1">
      <alignment horizontal="center" vertical="center"/>
    </xf>
    <xf numFmtId="165" fontId="46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/>
    <xf numFmtId="165" fontId="5" fillId="0" borderId="0" xfId="0" applyNumberFormat="1" applyFont="1"/>
    <xf numFmtId="0" fontId="6" fillId="2" borderId="1" xfId="1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wrapText="1"/>
    </xf>
    <xf numFmtId="49" fontId="27" fillId="2" borderId="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wrapText="1"/>
    </xf>
    <xf numFmtId="168" fontId="7" fillId="2" borderId="9" xfId="0" applyNumberFormat="1" applyFont="1" applyFill="1" applyBorder="1" applyAlignment="1">
      <alignment horizontal="center" vertical="center"/>
    </xf>
    <xf numFmtId="168" fontId="6" fillId="2" borderId="9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49" fontId="6" fillId="2" borderId="0" xfId="0" applyNumberFormat="1" applyFont="1" applyFill="1" applyBorder="1"/>
    <xf numFmtId="0" fontId="7" fillId="0" borderId="1" xfId="0" applyFont="1" applyFill="1" applyBorder="1" applyAlignment="1">
      <alignment wrapText="1"/>
    </xf>
    <xf numFmtId="49" fontId="27" fillId="0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0" fillId="0" borderId="0" xfId="0" applyFill="1" applyBorder="1"/>
    <xf numFmtId="0" fontId="5" fillId="9" borderId="1" xfId="0" applyFont="1" applyFill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/>
    </xf>
    <xf numFmtId="0" fontId="37" fillId="0" borderId="0" xfId="0" applyFont="1"/>
    <xf numFmtId="10" fontId="37" fillId="0" borderId="0" xfId="0" applyNumberFormat="1" applyFont="1"/>
    <xf numFmtId="172" fontId="37" fillId="0" borderId="0" xfId="7" applyNumberFormat="1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164" fontId="37" fillId="0" borderId="0" xfId="0" applyNumberFormat="1" applyFont="1" applyBorder="1"/>
    <xf numFmtId="164" fontId="38" fillId="0" borderId="1" xfId="0" applyNumberFormat="1" applyFont="1" applyBorder="1" applyAlignment="1">
      <alignment horizontal="center" vertical="top" wrapText="1"/>
    </xf>
    <xf numFmtId="0" fontId="39" fillId="0" borderId="0" xfId="0" applyFont="1"/>
    <xf numFmtId="172" fontId="39" fillId="0" borderId="0" xfId="7" applyNumberFormat="1" applyFont="1"/>
    <xf numFmtId="0" fontId="40" fillId="0" borderId="5" xfId="0" applyFont="1" applyBorder="1" applyAlignment="1">
      <alignment vertical="top" wrapText="1"/>
    </xf>
    <xf numFmtId="168" fontId="40" fillId="0" borderId="1" xfId="0" applyNumberFormat="1" applyFont="1" applyBorder="1" applyAlignment="1">
      <alignment horizontal="center" vertical="top" wrapText="1"/>
    </xf>
    <xf numFmtId="164" fontId="40" fillId="0" borderId="1" xfId="0" applyNumberFormat="1" applyFont="1" applyBorder="1" applyAlignment="1">
      <alignment horizontal="center" vertical="top" wrapText="1"/>
    </xf>
    <xf numFmtId="168" fontId="37" fillId="0" borderId="0" xfId="0" applyNumberFormat="1" applyFont="1"/>
    <xf numFmtId="0" fontId="40" fillId="0" borderId="8" xfId="0" applyFont="1" applyBorder="1" applyAlignment="1">
      <alignment vertical="top" wrapText="1"/>
    </xf>
    <xf numFmtId="0" fontId="37" fillId="0" borderId="8" xfId="0" applyFont="1" applyBorder="1" applyAlignment="1"/>
    <xf numFmtId="168" fontId="39" fillId="0" borderId="0" xfId="0" applyNumberFormat="1" applyFont="1"/>
    <xf numFmtId="10" fontId="37" fillId="0" borderId="0" xfId="7" applyNumberFormat="1" applyFont="1"/>
    <xf numFmtId="0" fontId="38" fillId="0" borderId="5" xfId="0" applyFont="1" applyBorder="1" applyAlignment="1">
      <alignment horizontal="center" vertical="center"/>
    </xf>
    <xf numFmtId="0" fontId="37" fillId="0" borderId="5" xfId="0" applyFont="1" applyBorder="1" applyAlignment="1"/>
    <xf numFmtId="0" fontId="38" fillId="0" borderId="8" xfId="0" applyFont="1" applyBorder="1" applyAlignment="1">
      <alignment horizontal="center" vertical="top" wrapText="1"/>
    </xf>
    <xf numFmtId="0" fontId="40" fillId="0" borderId="4" xfId="0" applyFont="1" applyBorder="1" applyAlignment="1">
      <alignment vertical="top" wrapText="1"/>
    </xf>
    <xf numFmtId="0" fontId="40" fillId="0" borderId="8" xfId="0" applyFont="1" applyBorder="1" applyAlignment="1">
      <alignment horizontal="center" vertical="top" wrapText="1"/>
    </xf>
    <xf numFmtId="0" fontId="38" fillId="0" borderId="4" xfId="0" applyFont="1" applyBorder="1" applyAlignment="1">
      <alignment horizontal="center" vertical="top" wrapText="1"/>
    </xf>
    <xf numFmtId="0" fontId="38" fillId="0" borderId="5" xfId="0" applyFont="1" applyBorder="1" applyAlignment="1">
      <alignment horizontal="center" vertical="top" wrapText="1"/>
    </xf>
    <xf numFmtId="0" fontId="40" fillId="0" borderId="5" xfId="0" applyFont="1" applyBorder="1" applyAlignment="1">
      <alignment horizontal="center" vertical="top" wrapText="1"/>
    </xf>
    <xf numFmtId="0" fontId="40" fillId="0" borderId="1" xfId="6" applyFont="1" applyFill="1" applyBorder="1" applyAlignment="1">
      <alignment horizontal="justify" vertical="center" wrapText="1"/>
    </xf>
    <xf numFmtId="0" fontId="37" fillId="0" borderId="8" xfId="0" applyFont="1" applyBorder="1"/>
    <xf numFmtId="0" fontId="39" fillId="0" borderId="4" xfId="0" applyFont="1" applyBorder="1"/>
    <xf numFmtId="0" fontId="38" fillId="0" borderId="1" xfId="0" applyFont="1" applyFill="1" applyBorder="1" applyAlignment="1">
      <alignment horizontal="center" vertical="top" wrapText="1"/>
    </xf>
    <xf numFmtId="0" fontId="38" fillId="0" borderId="1" xfId="0" applyFont="1" applyFill="1" applyBorder="1" applyAlignment="1">
      <alignment horizontal="left" vertical="top" wrapText="1"/>
    </xf>
    <xf numFmtId="168" fontId="38" fillId="0" borderId="1" xfId="0" applyNumberFormat="1" applyFont="1" applyFill="1" applyBorder="1" applyAlignment="1">
      <alignment horizontal="center" vertical="top" wrapText="1"/>
    </xf>
    <xf numFmtId="164" fontId="38" fillId="0" borderId="1" xfId="0" applyNumberFormat="1" applyFont="1" applyFill="1" applyBorder="1" applyAlignment="1">
      <alignment horizontal="center" vertical="top" wrapText="1"/>
    </xf>
    <xf numFmtId="0" fontId="40" fillId="0" borderId="4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/>
    </xf>
    <xf numFmtId="0" fontId="37" fillId="0" borderId="5" xfId="0" applyFont="1" applyBorder="1"/>
    <xf numFmtId="10" fontId="36" fillId="0" borderId="0" xfId="0" applyNumberFormat="1" applyFont="1"/>
    <xf numFmtId="9" fontId="37" fillId="0" borderId="0" xfId="0" applyNumberFormat="1" applyFont="1"/>
    <xf numFmtId="0" fontId="37" fillId="0" borderId="4" xfId="0" applyFont="1" applyBorder="1"/>
    <xf numFmtId="0" fontId="38" fillId="0" borderId="4" xfId="0" applyFont="1" applyBorder="1" applyAlignment="1">
      <alignment horizontal="center"/>
    </xf>
    <xf numFmtId="0" fontId="37" fillId="0" borderId="1" xfId="0" applyFont="1" applyBorder="1"/>
    <xf numFmtId="0" fontId="37" fillId="0" borderId="11" xfId="0" applyFont="1" applyBorder="1"/>
    <xf numFmtId="164" fontId="37" fillId="0" borderId="12" xfId="0" applyNumberFormat="1" applyFont="1" applyBorder="1"/>
    <xf numFmtId="4" fontId="6" fillId="0" borderId="0" xfId="0" applyNumberFormat="1" applyFont="1" applyFill="1"/>
    <xf numFmtId="0" fontId="6" fillId="0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vertical="top" wrapText="1"/>
    </xf>
    <xf numFmtId="0" fontId="6" fillId="8" borderId="0" xfId="0" applyFont="1" applyFill="1" applyAlignment="1">
      <alignment vertical="top"/>
    </xf>
    <xf numFmtId="0" fontId="6" fillId="8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0" fontId="26" fillId="3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0" fontId="43" fillId="3" borderId="1" xfId="0" applyFont="1" applyFill="1" applyBorder="1"/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43" fillId="0" borderId="1" xfId="0" applyFont="1" applyBorder="1" applyAlignment="1">
      <alignment horizontal="center"/>
    </xf>
    <xf numFmtId="0" fontId="42" fillId="0" borderId="1" xfId="0" applyFont="1" applyBorder="1"/>
    <xf numFmtId="0" fontId="42" fillId="0" borderId="1" xfId="0" applyFont="1" applyFill="1" applyBorder="1"/>
    <xf numFmtId="0" fontId="43" fillId="3" borderId="1" xfId="0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6" fillId="8" borderId="1" xfId="0" applyNumberFormat="1" applyFont="1" applyFill="1" applyBorder="1" applyAlignment="1">
      <alignment horizontal="center" vertical="top" wrapText="1"/>
    </xf>
    <xf numFmtId="165" fontId="7" fillId="5" borderId="1" xfId="0" applyNumberFormat="1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left" vertical="center" wrapText="1"/>
    </xf>
    <xf numFmtId="168" fontId="0" fillId="0" borderId="0" xfId="0" applyNumberFormat="1" applyFont="1"/>
    <xf numFmtId="0" fontId="4" fillId="0" borderId="1" xfId="0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165" fontId="27" fillId="0" borderId="1" xfId="0" applyNumberFormat="1" applyFont="1" applyFill="1" applyBorder="1" applyAlignment="1">
      <alignment horizontal="center" vertical="center"/>
    </xf>
    <xf numFmtId="168" fontId="7" fillId="2" borderId="0" xfId="0" applyNumberFormat="1" applyFont="1" applyFill="1" applyBorder="1" applyAlignment="1">
      <alignment vertical="center" wrapText="1"/>
    </xf>
    <xf numFmtId="0" fontId="28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center" vertical="center"/>
    </xf>
    <xf numFmtId="49" fontId="27" fillId="8" borderId="1" xfId="0" applyNumberFormat="1" applyFont="1" applyFill="1" applyBorder="1" applyAlignment="1">
      <alignment horizontal="center" vertical="center"/>
    </xf>
    <xf numFmtId="0" fontId="32" fillId="0" borderId="0" xfId="4" applyNumberFormat="1" applyFont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10" borderId="1" xfId="0" applyNumberFormat="1" applyFont="1" applyFill="1" applyBorder="1" applyAlignment="1">
      <alignment horizontal="center" vertical="center"/>
    </xf>
    <xf numFmtId="165" fontId="4" fillId="10" borderId="1" xfId="0" applyNumberFormat="1" applyFont="1" applyFill="1" applyBorder="1" applyAlignment="1">
      <alignment horizontal="center" vertical="center"/>
    </xf>
    <xf numFmtId="0" fontId="17" fillId="10" borderId="1" xfId="0" applyFont="1" applyFill="1" applyBorder="1" applyAlignment="1">
      <alignment horizontal="left" vertical="center" wrapText="1"/>
    </xf>
    <xf numFmtId="49" fontId="5" fillId="1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5" fillId="5" borderId="1" xfId="0" applyFont="1" applyFill="1" applyBorder="1" applyAlignment="1">
      <alignment horizontal="center" vertical="center" wrapText="1"/>
    </xf>
    <xf numFmtId="169" fontId="0" fillId="0" borderId="0" xfId="0" applyNumberFormat="1" applyFill="1" applyBorder="1"/>
    <xf numFmtId="49" fontId="7" fillId="0" borderId="1" xfId="0" applyNumberFormat="1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49" fontId="7" fillId="5" borderId="1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wrapText="1"/>
    </xf>
    <xf numFmtId="49" fontId="7" fillId="8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wrapText="1"/>
    </xf>
    <xf numFmtId="49" fontId="4" fillId="5" borderId="1" xfId="0" applyNumberFormat="1" applyFont="1" applyFill="1" applyBorder="1" applyAlignment="1">
      <alignment horizontal="center" vertical="center"/>
    </xf>
    <xf numFmtId="0" fontId="47" fillId="0" borderId="18" xfId="0" applyNumberFormat="1" applyFont="1" applyFill="1" applyBorder="1" applyAlignment="1">
      <alignment horizontal="center" vertical="top" wrapText="1"/>
    </xf>
    <xf numFmtId="0" fontId="47" fillId="0" borderId="18" xfId="0" applyNumberFormat="1" applyFont="1" applyFill="1" applyBorder="1" applyAlignment="1">
      <alignment vertical="top" wrapText="1"/>
    </xf>
    <xf numFmtId="49" fontId="48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5" fontId="6" fillId="2" borderId="0" xfId="0" applyNumberFormat="1" applyFont="1" applyFill="1" applyAlignment="1"/>
    <xf numFmtId="165" fontId="6" fillId="2" borderId="4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wrapText="1"/>
    </xf>
    <xf numFmtId="165" fontId="7" fillId="5" borderId="1" xfId="0" applyNumberFormat="1" applyFont="1" applyFill="1" applyBorder="1"/>
    <xf numFmtId="170" fontId="6" fillId="0" borderId="0" xfId="0" applyNumberFormat="1" applyFont="1" applyFill="1"/>
    <xf numFmtId="165" fontId="6" fillId="0" borderId="1" xfId="0" applyNumberFormat="1" applyFont="1" applyFill="1" applyBorder="1" applyAlignment="1">
      <alignment wrapText="1"/>
    </xf>
    <xf numFmtId="165" fontId="7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5" fontId="6" fillId="2" borderId="0" xfId="0" applyNumberFormat="1" applyFont="1" applyFill="1" applyBorder="1" applyAlignment="1">
      <alignment horizontal="right"/>
    </xf>
    <xf numFmtId="165" fontId="7" fillId="8" borderId="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wrapText="1"/>
    </xf>
    <xf numFmtId="165" fontId="7" fillId="2" borderId="0" xfId="0" applyNumberFormat="1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4" fillId="0" borderId="0" xfId="0" applyNumberFormat="1" applyFont="1" applyFill="1" applyBorder="1" applyAlignment="1">
      <alignment horizontal="right"/>
    </xf>
    <xf numFmtId="165" fontId="15" fillId="0" borderId="1" xfId="0" applyNumberFormat="1" applyFont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horizontal="center" vertical="center"/>
    </xf>
    <xf numFmtId="165" fontId="5" fillId="9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Border="1"/>
    <xf numFmtId="165" fontId="0" fillId="0" borderId="1" xfId="0" applyNumberFormat="1" applyFont="1" applyFill="1" applyBorder="1" applyAlignment="1">
      <alignment horizontal="center" vertical="center"/>
    </xf>
    <xf numFmtId="165" fontId="0" fillId="1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/>
    <xf numFmtId="165" fontId="5" fillId="8" borderId="1" xfId="0" applyNumberFormat="1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40" fillId="0" borderId="1" xfId="0" applyFont="1" applyFill="1" applyBorder="1" applyAlignment="1">
      <alignment wrapText="1"/>
    </xf>
    <xf numFmtId="0" fontId="31" fillId="8" borderId="1" xfId="0" applyFont="1" applyFill="1" applyBorder="1" applyAlignment="1">
      <alignment horizontal="center" vertical="top" wrapText="1"/>
    </xf>
    <xf numFmtId="49" fontId="40" fillId="0" borderId="1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/>
    <xf numFmtId="165" fontId="6" fillId="2" borderId="9" xfId="0" applyNumberFormat="1" applyFont="1" applyFill="1" applyBorder="1" applyAlignment="1">
      <alignment wrapText="1"/>
    </xf>
    <xf numFmtId="165" fontId="7" fillId="2" borderId="9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4" fillId="0" borderId="0" xfId="0" applyNumberFormat="1" applyFont="1" applyAlignment="1">
      <alignment horizontal="right"/>
    </xf>
    <xf numFmtId="165" fontId="16" fillId="2" borderId="0" xfId="0" applyNumberFormat="1" applyFont="1" applyFill="1"/>
    <xf numFmtId="0" fontId="6" fillId="8" borderId="1" xfId="0" applyFont="1" applyFill="1" applyBorder="1" applyAlignment="1">
      <alignment horizontal="center" vertical="top"/>
    </xf>
    <xf numFmtId="0" fontId="31" fillId="8" borderId="1" xfId="0" applyFont="1" applyFill="1" applyBorder="1" applyAlignment="1">
      <alignment vertical="top" wrapText="1"/>
    </xf>
    <xf numFmtId="0" fontId="4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8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justify" vertical="top" wrapText="1"/>
    </xf>
    <xf numFmtId="0" fontId="4" fillId="8" borderId="1" xfId="0" applyFont="1" applyFill="1" applyBorder="1" applyAlignment="1">
      <alignment wrapText="1"/>
    </xf>
    <xf numFmtId="0" fontId="31" fillId="6" borderId="1" xfId="0" applyFont="1" applyFill="1" applyBorder="1" applyAlignment="1">
      <alignment horizontal="left" vertical="center" wrapText="1"/>
    </xf>
    <xf numFmtId="165" fontId="17" fillId="2" borderId="0" xfId="0" applyNumberFormat="1" applyFont="1" applyFill="1"/>
    <xf numFmtId="165" fontId="5" fillId="8" borderId="0" xfId="0" applyNumberFormat="1" applyFont="1" applyFill="1" applyBorder="1" applyAlignment="1">
      <alignment horizontal="center"/>
    </xf>
    <xf numFmtId="168" fontId="7" fillId="5" borderId="1" xfId="0" applyNumberFormat="1" applyFont="1" applyFill="1" applyBorder="1" applyAlignment="1">
      <alignment wrapText="1"/>
    </xf>
    <xf numFmtId="49" fontId="6" fillId="11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wrapText="1"/>
    </xf>
    <xf numFmtId="0" fontId="28" fillId="0" borderId="1" xfId="5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top"/>
    </xf>
    <xf numFmtId="164" fontId="50" fillId="0" borderId="1" xfId="0" applyNumberFormat="1" applyFont="1" applyBorder="1"/>
    <xf numFmtId="168" fontId="6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/>
    <xf numFmtId="165" fontId="5" fillId="2" borderId="0" xfId="0" applyNumberFormat="1" applyFont="1" applyFill="1"/>
    <xf numFmtId="0" fontId="6" fillId="0" borderId="0" xfId="0" applyFont="1" applyFill="1" applyAlignment="1">
      <alignment horizontal="right"/>
    </xf>
    <xf numFmtId="0" fontId="37" fillId="0" borderId="0" xfId="0" applyFont="1" applyFill="1"/>
    <xf numFmtId="0" fontId="37" fillId="0" borderId="0" xfId="0" applyFont="1" applyFill="1" applyBorder="1"/>
    <xf numFmtId="0" fontId="4" fillId="0" borderId="0" xfId="0" applyFont="1" applyFill="1" applyAlignment="1"/>
    <xf numFmtId="0" fontId="37" fillId="0" borderId="0" xfId="0" applyFont="1" applyFill="1" applyBorder="1" applyAlignment="1">
      <alignment horizontal="center"/>
    </xf>
    <xf numFmtId="164" fontId="37" fillId="0" borderId="0" xfId="0" applyNumberFormat="1" applyFont="1" applyFill="1" applyBorder="1" applyAlignment="1">
      <alignment horizontal="center"/>
    </xf>
    <xf numFmtId="164" fontId="37" fillId="0" borderId="0" xfId="0" applyNumberFormat="1" applyFont="1" applyFill="1" applyBorder="1"/>
    <xf numFmtId="0" fontId="38" fillId="0" borderId="0" xfId="0" applyFont="1" applyFill="1" applyBorder="1" applyAlignment="1">
      <alignment vertical="top" wrapText="1"/>
    </xf>
    <xf numFmtId="0" fontId="37" fillId="0" borderId="0" xfId="0" applyFont="1" applyFill="1" applyAlignment="1">
      <alignment wrapText="1"/>
    </xf>
    <xf numFmtId="0" fontId="40" fillId="0" borderId="5" xfId="0" applyFont="1" applyFill="1" applyBorder="1" applyAlignment="1">
      <alignment vertical="top" wrapText="1"/>
    </xf>
    <xf numFmtId="0" fontId="40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left" vertical="top" wrapText="1"/>
    </xf>
    <xf numFmtId="168" fontId="40" fillId="0" borderId="1" xfId="0" applyNumberFormat="1" applyFont="1" applyFill="1" applyBorder="1" applyAlignment="1">
      <alignment horizontal="center" vertical="top" wrapText="1"/>
    </xf>
    <xf numFmtId="164" fontId="40" fillId="0" borderId="1" xfId="0" applyNumberFormat="1" applyFont="1" applyFill="1" applyBorder="1" applyAlignment="1">
      <alignment horizontal="center" vertical="top" wrapText="1"/>
    </xf>
    <xf numFmtId="0" fontId="40" fillId="0" borderId="8" xfId="0" applyFont="1" applyFill="1" applyBorder="1" applyAlignment="1">
      <alignment vertical="top" wrapText="1"/>
    </xf>
    <xf numFmtId="0" fontId="37" fillId="0" borderId="8" xfId="0" applyFont="1" applyFill="1" applyBorder="1" applyAlignment="1"/>
    <xf numFmtId="0" fontId="40" fillId="0" borderId="1" xfId="0" applyNumberFormat="1" applyFont="1" applyFill="1" applyBorder="1" applyAlignment="1">
      <alignment horizontal="left" vertical="top" wrapText="1"/>
    </xf>
    <xf numFmtId="0" fontId="38" fillId="0" borderId="5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/>
    <xf numFmtId="0" fontId="40" fillId="0" borderId="9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top" wrapText="1"/>
    </xf>
    <xf numFmtId="168" fontId="18" fillId="0" borderId="1" xfId="0" applyNumberFormat="1" applyFont="1" applyFill="1" applyBorder="1" applyAlignment="1">
      <alignment horizontal="center" vertical="top" wrapText="1"/>
    </xf>
    <xf numFmtId="0" fontId="38" fillId="0" borderId="8" xfId="0" applyFont="1" applyFill="1" applyBorder="1" applyAlignment="1">
      <alignment horizontal="center" vertical="top" wrapText="1"/>
    </xf>
    <xf numFmtId="164" fontId="41" fillId="0" borderId="1" xfId="0" applyNumberFormat="1" applyFont="1" applyFill="1" applyBorder="1" applyAlignment="1">
      <alignment horizontal="center" vertical="top" wrapText="1"/>
    </xf>
    <xf numFmtId="0" fontId="38" fillId="0" borderId="9" xfId="0" applyFont="1" applyFill="1" applyBorder="1" applyAlignment="1">
      <alignment horizontal="center" vertical="top" wrapText="1"/>
    </xf>
    <xf numFmtId="0" fontId="40" fillId="0" borderId="9" xfId="0" applyFont="1" applyFill="1" applyBorder="1" applyAlignment="1">
      <alignment horizontal="center" vertical="top" wrapText="1"/>
    </xf>
    <xf numFmtId="0" fontId="40" fillId="0" borderId="9" xfId="0" applyFont="1" applyFill="1" applyBorder="1" applyAlignment="1">
      <alignment horizontal="center" wrapText="1"/>
    </xf>
    <xf numFmtId="0" fontId="38" fillId="0" borderId="4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vertical="top" wrapText="1"/>
    </xf>
    <xf numFmtId="0" fontId="40" fillId="0" borderId="4" xfId="0" applyFont="1" applyFill="1" applyBorder="1" applyAlignment="1">
      <alignment vertical="top" wrapText="1"/>
    </xf>
    <xf numFmtId="0" fontId="38" fillId="0" borderId="5" xfId="0" applyFont="1" applyFill="1" applyBorder="1" applyAlignment="1">
      <alignment horizontal="center" vertical="top" wrapText="1"/>
    </xf>
    <xf numFmtId="0" fontId="40" fillId="0" borderId="5" xfId="0" applyFont="1" applyFill="1" applyBorder="1" applyAlignment="1">
      <alignment horizontal="center" vertical="top" wrapText="1"/>
    </xf>
    <xf numFmtId="0" fontId="37" fillId="0" borderId="8" xfId="0" applyFont="1" applyFill="1" applyBorder="1"/>
    <xf numFmtId="168" fontId="40" fillId="0" borderId="1" xfId="0" applyNumberFormat="1" applyFont="1" applyFill="1" applyBorder="1" applyAlignment="1">
      <alignment horizontal="center" wrapText="1"/>
    </xf>
    <xf numFmtId="0" fontId="39" fillId="0" borderId="4" xfId="0" applyFont="1" applyFill="1" applyBorder="1"/>
    <xf numFmtId="0" fontId="40" fillId="0" borderId="4" xfId="0" applyFont="1" applyFill="1" applyBorder="1" applyAlignment="1">
      <alignment horizontal="center" vertical="top" wrapText="1"/>
    </xf>
    <xf numFmtId="0" fontId="38" fillId="0" borderId="8" xfId="0" applyFont="1" applyFill="1" applyBorder="1" applyAlignment="1">
      <alignment horizontal="center"/>
    </xf>
    <xf numFmtId="0" fontId="37" fillId="0" borderId="4" xfId="0" applyFont="1" applyFill="1" applyBorder="1"/>
    <xf numFmtId="0" fontId="38" fillId="0" borderId="4" xfId="0" applyFont="1" applyFill="1" applyBorder="1" applyAlignment="1">
      <alignment horizontal="center"/>
    </xf>
    <xf numFmtId="0" fontId="37" fillId="0" borderId="1" xfId="0" applyFont="1" applyFill="1" applyBorder="1"/>
    <xf numFmtId="165" fontId="31" fillId="8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45" fillId="0" borderId="1" xfId="5" applyNumberFormat="1" applyFont="1" applyBorder="1" applyAlignment="1">
      <alignment wrapText="1"/>
    </xf>
    <xf numFmtId="165" fontId="28" fillId="0" borderId="1" xfId="5" applyNumberFormat="1" applyFont="1" applyBorder="1" applyAlignment="1">
      <alignment horizontal="center" wrapText="1"/>
    </xf>
    <xf numFmtId="165" fontId="7" fillId="6" borderId="1" xfId="0" applyNumberFormat="1" applyFont="1" applyFill="1" applyBorder="1" applyAlignment="1">
      <alignment horizontal="center" vertical="center"/>
    </xf>
    <xf numFmtId="165" fontId="6" fillId="8" borderId="1" xfId="0" applyNumberFormat="1" applyFont="1" applyFill="1" applyBorder="1" applyAlignment="1">
      <alignment horizontal="center" vertical="top"/>
    </xf>
    <xf numFmtId="49" fontId="28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165" fontId="28" fillId="2" borderId="1" xfId="0" applyNumberFormat="1" applyFont="1" applyFill="1" applyBorder="1" applyAlignment="1">
      <alignment horizontal="center" vertical="center" wrapText="1"/>
    </xf>
    <xf numFmtId="165" fontId="6" fillId="8" borderId="1" xfId="0" applyNumberFormat="1" applyFont="1" applyFill="1" applyBorder="1" applyAlignment="1">
      <alignment horizontal="center" vertical="center" wrapText="1"/>
    </xf>
    <xf numFmtId="165" fontId="28" fillId="8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27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>
      <alignment horizontal="center"/>
    </xf>
    <xf numFmtId="0" fontId="28" fillId="8" borderId="0" xfId="0" applyNumberFormat="1" applyFont="1" applyFill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165" fontId="19" fillId="0" borderId="1" xfId="0" applyNumberFormat="1" applyFont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0" fillId="0" borderId="19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3" fontId="40" fillId="0" borderId="1" xfId="0" applyNumberFormat="1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166" fontId="6" fillId="0" borderId="1" xfId="0" applyNumberFormat="1" applyFont="1" applyFill="1" applyBorder="1"/>
    <xf numFmtId="0" fontId="25" fillId="0" borderId="0" xfId="0" applyFont="1"/>
    <xf numFmtId="164" fontId="5" fillId="0" borderId="0" xfId="0" applyNumberFormat="1" applyFont="1" applyAlignment="1">
      <alignment horizontal="right" vertical="center" wrapText="1"/>
    </xf>
    <xf numFmtId="0" fontId="17" fillId="12" borderId="1" xfId="0" applyFont="1" applyFill="1" applyBorder="1" applyAlignment="1">
      <alignment horizontal="left" vertical="center" wrapText="1"/>
    </xf>
    <xf numFmtId="0" fontId="17" fillId="12" borderId="1" xfId="0" applyFont="1" applyFill="1" applyBorder="1" applyAlignment="1">
      <alignment horizontal="center" vertical="center"/>
    </xf>
    <xf numFmtId="165" fontId="17" fillId="12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wrapText="1"/>
    </xf>
    <xf numFmtId="168" fontId="37" fillId="0" borderId="1" xfId="0" applyNumberFormat="1" applyFont="1" applyBorder="1"/>
    <xf numFmtId="0" fontId="5" fillId="8" borderId="0" xfId="0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165" fontId="4" fillId="0" borderId="17" xfId="0" applyNumberFormat="1" applyFont="1" applyBorder="1" applyAlignment="1"/>
    <xf numFmtId="165" fontId="25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0" fontId="4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5" fillId="0" borderId="0" xfId="0" applyFont="1" applyAlignment="1">
      <alignment horizontal="center" vertical="top" wrapText="1"/>
    </xf>
    <xf numFmtId="0" fontId="6" fillId="6" borderId="0" xfId="0" applyFont="1" applyFill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/>
    <xf numFmtId="49" fontId="6" fillId="2" borderId="4" xfId="0" applyNumberFormat="1" applyFont="1" applyFill="1" applyBorder="1"/>
    <xf numFmtId="0" fontId="6" fillId="2" borderId="4" xfId="0" applyFont="1" applyFill="1" applyBorder="1" applyAlignment="1">
      <alignment horizontal="center"/>
    </xf>
    <xf numFmtId="165" fontId="6" fillId="2" borderId="4" xfId="0" applyNumberFormat="1" applyFont="1" applyFill="1" applyBorder="1"/>
    <xf numFmtId="165" fontId="6" fillId="2" borderId="4" xfId="0" applyNumberFormat="1" applyFont="1" applyFill="1" applyBorder="1" applyAlignment="1">
      <alignment wrapText="1"/>
    </xf>
    <xf numFmtId="0" fontId="29" fillId="8" borderId="0" xfId="0" applyFont="1" applyFill="1" applyBorder="1" applyAlignment="1">
      <alignment horizontal="left" vertical="center" wrapText="1"/>
    </xf>
    <xf numFmtId="49" fontId="28" fillId="8" borderId="0" xfId="0" applyNumberFormat="1" applyFont="1" applyFill="1" applyBorder="1" applyAlignment="1">
      <alignment horizontal="center" vertical="center"/>
    </xf>
    <xf numFmtId="165" fontId="28" fillId="8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/>
    </xf>
    <xf numFmtId="0" fontId="17" fillId="8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165" fontId="5" fillId="8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165" fontId="40" fillId="0" borderId="1" xfId="0" applyNumberFormat="1" applyFont="1" applyFill="1" applyBorder="1" applyAlignment="1">
      <alignment horizontal="center" vertical="top" wrapText="1"/>
    </xf>
    <xf numFmtId="165" fontId="6" fillId="5" borderId="1" xfId="0" applyNumberFormat="1" applyFont="1" applyFill="1" applyBorder="1" applyAlignment="1">
      <alignment wrapText="1"/>
    </xf>
    <xf numFmtId="4" fontId="28" fillId="8" borderId="0" xfId="0" applyNumberFormat="1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/>
    </xf>
    <xf numFmtId="165" fontId="38" fillId="0" borderId="1" xfId="0" applyNumberFormat="1" applyFont="1" applyBorder="1" applyAlignment="1">
      <alignment horizontal="center" vertical="top" wrapText="1"/>
    </xf>
    <xf numFmtId="165" fontId="3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165" fontId="40" fillId="0" borderId="1" xfId="0" applyNumberFormat="1" applyFont="1" applyFill="1" applyBorder="1" applyAlignment="1">
      <alignment horizontal="center" wrapText="1"/>
    </xf>
    <xf numFmtId="165" fontId="40" fillId="0" borderId="1" xfId="0" applyNumberFormat="1" applyFont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5" fontId="2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4" fillId="0" borderId="1" xfId="0" applyFont="1" applyBorder="1" applyAlignment="1">
      <alignment wrapText="1"/>
    </xf>
    <xf numFmtId="166" fontId="4" fillId="0" borderId="1" xfId="0" applyNumberFormat="1" applyFont="1" applyBorder="1"/>
    <xf numFmtId="166" fontId="4" fillId="0" borderId="1" xfId="0" applyNumberFormat="1" applyFont="1" applyBorder="1" applyAlignment="1">
      <alignment horizontal="right"/>
    </xf>
    <xf numFmtId="166" fontId="4" fillId="0" borderId="1" xfId="8" applyNumberFormat="1" applyFont="1" applyBorder="1" applyAlignment="1">
      <alignment horizontal="right" wrapText="1"/>
    </xf>
    <xf numFmtId="165" fontId="4" fillId="0" borderId="1" xfId="0" applyNumberFormat="1" applyFont="1" applyBorder="1"/>
    <xf numFmtId="169" fontId="4" fillId="0" borderId="1" xfId="0" applyNumberFormat="1" applyFont="1" applyBorder="1"/>
    <xf numFmtId="165" fontId="6" fillId="2" borderId="0" xfId="0" applyNumberFormat="1" applyFont="1" applyFill="1" applyAlignment="1">
      <alignment horizontal="right"/>
    </xf>
    <xf numFmtId="10" fontId="38" fillId="0" borderId="0" xfId="0" applyNumberFormat="1" applyFont="1"/>
    <xf numFmtId="0" fontId="3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165" fontId="4" fillId="0" borderId="0" xfId="0" applyNumberFormat="1" applyFont="1" applyFill="1"/>
    <xf numFmtId="0" fontId="38" fillId="0" borderId="1" xfId="0" applyFont="1" applyBorder="1" applyAlignment="1">
      <alignment horizontal="center" vertical="top" wrapText="1"/>
    </xf>
    <xf numFmtId="0" fontId="51" fillId="0" borderId="1" xfId="0" applyFont="1" applyFill="1" applyBorder="1" applyAlignment="1">
      <alignment horizontal="left" vertical="center" wrapText="1"/>
    </xf>
    <xf numFmtId="49" fontId="51" fillId="0" borderId="1" xfId="0" applyNumberFormat="1" applyFont="1" applyFill="1" applyBorder="1" applyAlignment="1">
      <alignment horizontal="center" vertical="center"/>
    </xf>
    <xf numFmtId="49" fontId="51" fillId="2" borderId="1" xfId="0" applyNumberFormat="1" applyFont="1" applyFill="1" applyBorder="1" applyAlignment="1">
      <alignment horizontal="center" vertical="center"/>
    </xf>
    <xf numFmtId="165" fontId="51" fillId="2" borderId="1" xfId="0" applyNumberFormat="1" applyFont="1" applyFill="1" applyBorder="1" applyAlignment="1">
      <alignment horizontal="center" vertical="center"/>
    </xf>
    <xf numFmtId="49" fontId="16" fillId="5" borderId="1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wrapText="1"/>
    </xf>
    <xf numFmtId="0" fontId="6" fillId="0" borderId="20" xfId="0" applyFont="1" applyFill="1" applyBorder="1" applyAlignment="1">
      <alignment horizontal="center" vertical="top" wrapText="1"/>
    </xf>
    <xf numFmtId="165" fontId="6" fillId="5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/>
    </xf>
    <xf numFmtId="164" fontId="5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23" fillId="0" borderId="1" xfId="0" applyFont="1" applyBorder="1"/>
    <xf numFmtId="165" fontId="4" fillId="0" borderId="13" xfId="0" applyNumberFormat="1" applyFont="1" applyBorder="1" applyAlignment="1"/>
    <xf numFmtId="0" fontId="4" fillId="0" borderId="0" xfId="0" applyFont="1" applyAlignment="1">
      <alignment horizontal="right"/>
    </xf>
    <xf numFmtId="0" fontId="1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49" fontId="16" fillId="8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4" fillId="0" borderId="1" xfId="0" applyFont="1" applyFill="1" applyBorder="1" applyAlignment="1">
      <alignment wrapText="1"/>
    </xf>
    <xf numFmtId="0" fontId="53" fillId="0" borderId="1" xfId="0" applyFont="1" applyBorder="1"/>
    <xf numFmtId="0" fontId="52" fillId="0" borderId="1" xfId="0" applyFont="1" applyBorder="1"/>
    <xf numFmtId="0" fontId="26" fillId="0" borderId="1" xfId="0" applyFont="1" applyBorder="1" applyAlignment="1">
      <alignment horizontal="left" vertical="center" wrapText="1"/>
    </xf>
    <xf numFmtId="168" fontId="6" fillId="2" borderId="0" xfId="0" applyNumberFormat="1" applyFont="1" applyFill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4" fillId="2" borderId="1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5" fontId="5" fillId="8" borderId="0" xfId="2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5" borderId="1" xfId="0" applyFont="1" applyFill="1" applyBorder="1" applyAlignment="1">
      <alignment horizontal="center" vertical="top"/>
    </xf>
    <xf numFmtId="165" fontId="31" fillId="5" borderId="1" xfId="0" applyNumberFormat="1" applyFont="1" applyFill="1" applyBorder="1" applyAlignment="1">
      <alignment horizontal="center" vertical="top" wrapText="1"/>
    </xf>
    <xf numFmtId="165" fontId="6" fillId="5" borderId="1" xfId="0" applyNumberFormat="1" applyFont="1" applyFill="1" applyBorder="1" applyAlignment="1">
      <alignment horizontal="center" vertical="top"/>
    </xf>
    <xf numFmtId="49" fontId="55" fillId="0" borderId="1" xfId="0" applyNumberFormat="1" applyFont="1" applyFill="1" applyBorder="1" applyAlignment="1">
      <alignment horizontal="center" vertical="center"/>
    </xf>
    <xf numFmtId="49" fontId="50" fillId="0" borderId="1" xfId="0" applyNumberFormat="1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47" fillId="0" borderId="22" xfId="0" applyNumberFormat="1" applyFont="1" applyFill="1" applyBorder="1" applyAlignment="1">
      <alignment vertical="top" wrapText="1"/>
    </xf>
    <xf numFmtId="0" fontId="44" fillId="0" borderId="1" xfId="0" applyFont="1" applyFill="1" applyBorder="1" applyAlignment="1">
      <alignment horizontal="left" vertical="center" wrapText="1"/>
    </xf>
    <xf numFmtId="0" fontId="44" fillId="2" borderId="1" xfId="0" applyFont="1" applyFill="1" applyBorder="1" applyAlignment="1">
      <alignment horizontal="left" vertical="center" wrapText="1"/>
    </xf>
    <xf numFmtId="165" fontId="28" fillId="4" borderId="0" xfId="0" applyNumberFormat="1" applyFont="1" applyFill="1"/>
    <xf numFmtId="165" fontId="28" fillId="2" borderId="0" xfId="0" applyNumberFormat="1" applyFont="1" applyFill="1"/>
    <xf numFmtId="165" fontId="28" fillId="0" borderId="0" xfId="0" applyNumberFormat="1" applyFont="1" applyFill="1"/>
    <xf numFmtId="165" fontId="27" fillId="0" borderId="0" xfId="0" applyNumberFormat="1" applyFont="1" applyFill="1"/>
    <xf numFmtId="165" fontId="0" fillId="0" borderId="0" xfId="0" applyNumberFormat="1"/>
    <xf numFmtId="0" fontId="38" fillId="0" borderId="1" xfId="0" applyFont="1" applyFill="1" applyBorder="1" applyAlignment="1">
      <alignment horizontal="center" vertical="top" wrapText="1"/>
    </xf>
    <xf numFmtId="165" fontId="6" fillId="2" borderId="0" xfId="0" applyNumberFormat="1" applyFont="1" applyFill="1" applyAlignment="1">
      <alignment horizontal="right"/>
    </xf>
    <xf numFmtId="0" fontId="5" fillId="6" borderId="1" xfId="0" applyFont="1" applyFill="1" applyBorder="1" applyAlignment="1">
      <alignment horizontal="left" vertical="center" wrapText="1"/>
    </xf>
    <xf numFmtId="168" fontId="0" fillId="0" borderId="0" xfId="0" applyNumberFormat="1" applyFill="1"/>
    <xf numFmtId="0" fontId="58" fillId="0" borderId="1" xfId="0" applyFont="1" applyBorder="1"/>
    <xf numFmtId="0" fontId="59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164" fontId="0" fillId="0" borderId="0" xfId="0" applyNumberFormat="1"/>
    <xf numFmtId="49" fontId="6" fillId="8" borderId="1" xfId="0" applyNumberFormat="1" applyFont="1" applyFill="1" applyBorder="1" applyAlignment="1">
      <alignment horizontal="center" vertical="top"/>
    </xf>
    <xf numFmtId="0" fontId="44" fillId="8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18" fillId="8" borderId="1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vertical="top" wrapText="1"/>
    </xf>
    <xf numFmtId="165" fontId="6" fillId="7" borderId="1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10" fontId="39" fillId="0" borderId="0" xfId="0" applyNumberFormat="1" applyFont="1"/>
    <xf numFmtId="0" fontId="38" fillId="0" borderId="1" xfId="0" applyFont="1" applyFill="1" applyBorder="1" applyAlignment="1">
      <alignment horizontal="center" vertical="top" wrapText="1"/>
    </xf>
    <xf numFmtId="9" fontId="6" fillId="2" borderId="0" xfId="0" applyNumberFormat="1" applyFont="1" applyFill="1"/>
    <xf numFmtId="0" fontId="44" fillId="2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49" fontId="17" fillId="5" borderId="1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18" fillId="8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5" fillId="5" borderId="1" xfId="0" applyFont="1" applyFill="1" applyBorder="1" applyAlignment="1">
      <alignment wrapText="1"/>
    </xf>
    <xf numFmtId="49" fontId="5" fillId="5" borderId="1" xfId="0" applyNumberFormat="1" applyFont="1" applyFill="1" applyBorder="1" applyAlignment="1">
      <alignment horizontal="center" vertical="center" wrapText="1"/>
    </xf>
    <xf numFmtId="165" fontId="15" fillId="5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center" wrapText="1"/>
    </xf>
    <xf numFmtId="49" fontId="60" fillId="0" borderId="1" xfId="0" applyNumberFormat="1" applyFont="1" applyBorder="1" applyAlignment="1">
      <alignment horizontal="center" vertical="center"/>
    </xf>
    <xf numFmtId="0" fontId="50" fillId="8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165" fontId="6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27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 wrapText="1"/>
    </xf>
    <xf numFmtId="49" fontId="17" fillId="7" borderId="1" xfId="0" applyNumberFormat="1" applyFont="1" applyFill="1" applyBorder="1" applyAlignment="1">
      <alignment horizontal="center" vertical="center"/>
    </xf>
    <xf numFmtId="49" fontId="17" fillId="8" borderId="1" xfId="0" applyNumberFormat="1" applyFont="1" applyFill="1" applyBorder="1" applyAlignment="1">
      <alignment horizontal="center" vertical="center"/>
    </xf>
    <xf numFmtId="0" fontId="57" fillId="8" borderId="1" xfId="0" applyFont="1" applyFill="1" applyBorder="1" applyAlignment="1">
      <alignment vertical="top" wrapText="1"/>
    </xf>
    <xf numFmtId="49" fontId="17" fillId="10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11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left" vertical="center" wrapText="1"/>
    </xf>
    <xf numFmtId="165" fontId="17" fillId="10" borderId="1" xfId="0" applyNumberFormat="1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left" vertical="center" wrapText="1"/>
    </xf>
    <xf numFmtId="168" fontId="6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165" fontId="31" fillId="2" borderId="1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wrapText="1"/>
    </xf>
    <xf numFmtId="0" fontId="5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49" fontId="6" fillId="10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/>
    </xf>
    <xf numFmtId="49" fontId="6" fillId="8" borderId="1" xfId="0" applyNumberFormat="1" applyFont="1" applyFill="1" applyBorder="1" applyAlignment="1">
      <alignment horizontal="center"/>
    </xf>
    <xf numFmtId="0" fontId="61" fillId="0" borderId="1" xfId="0" applyFont="1" applyBorder="1"/>
    <xf numFmtId="0" fontId="6" fillId="0" borderId="1" xfId="0" applyFont="1" applyFill="1" applyBorder="1" applyAlignment="1">
      <alignment horizontal="left" wrapText="1"/>
    </xf>
    <xf numFmtId="49" fontId="28" fillId="5" borderId="1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165" fontId="28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0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49" fontId="40" fillId="0" borderId="1" xfId="0" applyNumberFormat="1" applyFont="1" applyFill="1" applyBorder="1" applyAlignment="1">
      <alignment horizontal="center" vertical="top"/>
    </xf>
    <xf numFmtId="49" fontId="40" fillId="0" borderId="1" xfId="9" applyNumberFormat="1" applyFont="1" applyFill="1" applyBorder="1" applyAlignment="1">
      <alignment horizontal="center" vertical="top"/>
    </xf>
    <xf numFmtId="49" fontId="38" fillId="0" borderId="1" xfId="0" applyNumberFormat="1" applyFont="1" applyFill="1" applyBorder="1" applyAlignment="1">
      <alignment horizontal="center" vertical="top" wrapText="1"/>
    </xf>
    <xf numFmtId="49" fontId="40" fillId="0" borderId="1" xfId="0" applyNumberFormat="1" applyFont="1" applyFill="1" applyBorder="1" applyAlignment="1">
      <alignment horizontal="center" vertical="top" wrapText="1"/>
    </xf>
    <xf numFmtId="4" fontId="40" fillId="0" borderId="13" xfId="0" applyNumberFormat="1" applyFont="1" applyFill="1" applyBorder="1" applyAlignment="1">
      <alignment vertical="top" wrapText="1"/>
    </xf>
    <xf numFmtId="4" fontId="40" fillId="0" borderId="13" xfId="0" applyNumberFormat="1" applyFont="1" applyFill="1" applyBorder="1" applyAlignment="1">
      <alignment horizontal="left" vertical="top" wrapText="1"/>
    </xf>
    <xf numFmtId="0" fontId="63" fillId="0" borderId="0" xfId="0" applyFont="1" applyFill="1" applyAlignment="1">
      <alignment horizontal="left" vertical="top" wrapText="1"/>
    </xf>
    <xf numFmtId="0" fontId="40" fillId="0" borderId="1" xfId="0" quotePrefix="1" applyFont="1" applyFill="1" applyBorder="1" applyAlignment="1">
      <alignment horizontal="left" vertical="top" wrapText="1"/>
    </xf>
    <xf numFmtId="49" fontId="40" fillId="0" borderId="5" xfId="0" applyNumberFormat="1" applyFont="1" applyFill="1" applyBorder="1" applyAlignment="1">
      <alignment horizontal="center" vertical="top"/>
    </xf>
    <xf numFmtId="0" fontId="39" fillId="0" borderId="1" xfId="0" applyFont="1" applyBorder="1" applyAlignment="1">
      <alignment horizontal="center"/>
    </xf>
    <xf numFmtId="165" fontId="38" fillId="0" borderId="9" xfId="0" applyNumberFormat="1" applyFont="1" applyBorder="1" applyAlignment="1">
      <alignment horizontal="center" vertical="top" wrapText="1"/>
    </xf>
    <xf numFmtId="168" fontId="40" fillId="0" borderId="9" xfId="0" applyNumberFormat="1" applyFont="1" applyFill="1" applyBorder="1" applyAlignment="1">
      <alignment horizontal="center" vertical="top" wrapText="1"/>
    </xf>
    <xf numFmtId="168" fontId="40" fillId="0" borderId="9" xfId="0" applyNumberFormat="1" applyFont="1" applyBorder="1" applyAlignment="1">
      <alignment horizontal="center" vertical="top" wrapText="1"/>
    </xf>
    <xf numFmtId="0" fontId="38" fillId="0" borderId="4" xfId="0" applyFont="1" applyFill="1" applyBorder="1" applyAlignment="1">
      <alignment horizontal="left" vertical="top" wrapText="1"/>
    </xf>
    <xf numFmtId="165" fontId="38" fillId="0" borderId="4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/>
    </xf>
    <xf numFmtId="164" fontId="37" fillId="0" borderId="1" xfId="0" applyNumberFormat="1" applyFont="1" applyBorder="1" applyAlignment="1">
      <alignment horizontal="center"/>
    </xf>
    <xf numFmtId="164" fontId="37" fillId="0" borderId="1" xfId="0" applyNumberFormat="1" applyFont="1" applyBorder="1"/>
    <xf numFmtId="172" fontId="37" fillId="0" borderId="1" xfId="7" applyNumberFormat="1" applyFont="1" applyBorder="1"/>
    <xf numFmtId="0" fontId="5" fillId="0" borderId="1" xfId="0" applyFont="1" applyBorder="1" applyAlignment="1">
      <alignment horizontal="center" wrapText="1"/>
    </xf>
    <xf numFmtId="10" fontId="0" fillId="0" borderId="0" xfId="0" applyNumberFormat="1"/>
    <xf numFmtId="49" fontId="40" fillId="0" borderId="5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5" fontId="64" fillId="0" borderId="4" xfId="0" applyNumberFormat="1" applyFont="1" applyBorder="1" applyAlignment="1">
      <alignment horizontal="center" vertical="top"/>
    </xf>
    <xf numFmtId="165" fontId="64" fillId="0" borderId="1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 wrapText="1"/>
    </xf>
    <xf numFmtId="0" fontId="6" fillId="0" borderId="1" xfId="5" applyNumberFormat="1" applyFont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/>
    </xf>
    <xf numFmtId="165" fontId="64" fillId="0" borderId="0" xfId="0" applyNumberFormat="1" applyFont="1" applyAlignment="1">
      <alignment horizontal="center" vertical="top"/>
    </xf>
    <xf numFmtId="168" fontId="41" fillId="0" borderId="1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Alignment="1">
      <alignment horizontal="right"/>
    </xf>
    <xf numFmtId="0" fontId="8" fillId="0" borderId="1" xfId="0" applyFont="1" applyBorder="1"/>
    <xf numFmtId="0" fontId="5" fillId="0" borderId="1" xfId="0" applyFont="1" applyBorder="1"/>
    <xf numFmtId="165" fontId="4" fillId="8" borderId="1" xfId="0" applyNumberFormat="1" applyFont="1" applyFill="1" applyBorder="1" applyAlignment="1">
      <alignment horizontal="center" vertical="center" wrapText="1"/>
    </xf>
    <xf numFmtId="165" fontId="4" fillId="8" borderId="1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9" fontId="0" fillId="0" borderId="0" xfId="0" applyNumberFormat="1" applyFill="1"/>
    <xf numFmtId="0" fontId="5" fillId="0" borderId="1" xfId="0" applyFont="1" applyBorder="1" applyAlignment="1">
      <alignment horizontal="center" wrapText="1"/>
    </xf>
    <xf numFmtId="168" fontId="5" fillId="0" borderId="1" xfId="0" applyNumberFormat="1" applyFont="1" applyBorder="1"/>
    <xf numFmtId="168" fontId="8" fillId="0" borderId="1" xfId="0" applyNumberFormat="1" applyFont="1" applyBorder="1"/>
    <xf numFmtId="168" fontId="4" fillId="0" borderId="1" xfId="0" applyNumberFormat="1" applyFont="1" applyBorder="1"/>
    <xf numFmtId="0" fontId="18" fillId="12" borderId="1" xfId="0" applyFont="1" applyFill="1" applyBorder="1" applyAlignment="1">
      <alignment horizontal="left" vertical="center" wrapText="1"/>
    </xf>
    <xf numFmtId="0" fontId="4" fillId="12" borderId="1" xfId="0" applyFont="1" applyFill="1" applyBorder="1" applyAlignment="1">
      <alignment horizontal="center" vertical="center"/>
    </xf>
    <xf numFmtId="49" fontId="4" fillId="12" borderId="1" xfId="0" applyNumberFormat="1" applyFont="1" applyFill="1" applyBorder="1" applyAlignment="1">
      <alignment horizontal="center" vertical="center"/>
    </xf>
    <xf numFmtId="165" fontId="4" fillId="12" borderId="1" xfId="0" applyNumberFormat="1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vertical="top" wrapText="1"/>
    </xf>
    <xf numFmtId="168" fontId="5" fillId="2" borderId="0" xfId="0" applyNumberFormat="1" applyFont="1" applyFill="1"/>
    <xf numFmtId="168" fontId="4" fillId="0" borderId="0" xfId="0" applyNumberFormat="1" applyFont="1" applyFill="1"/>
    <xf numFmtId="0" fontId="4" fillId="8" borderId="1" xfId="0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vertical="top" wrapText="1"/>
    </xf>
    <xf numFmtId="173" fontId="0" fillId="0" borderId="0" xfId="0" applyNumberFormat="1" applyFill="1"/>
    <xf numFmtId="168" fontId="0" fillId="0" borderId="0" xfId="0" applyNumberFormat="1"/>
    <xf numFmtId="0" fontId="28" fillId="1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165" fontId="0" fillId="0" borderId="1" xfId="0" applyNumberFormat="1" applyBorder="1" applyAlignment="1">
      <alignment vertical="top"/>
    </xf>
    <xf numFmtId="0" fontId="4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wrapText="1"/>
    </xf>
    <xf numFmtId="0" fontId="5" fillId="0" borderId="1" xfId="3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top" wrapText="1"/>
    </xf>
    <xf numFmtId="0" fontId="37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38" fillId="0" borderId="0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wrapText="1"/>
    </xf>
    <xf numFmtId="165" fontId="6" fillId="2" borderId="0" xfId="0" applyNumberFormat="1" applyFont="1" applyFill="1" applyAlignment="1">
      <alignment horizontal="right"/>
    </xf>
    <xf numFmtId="0" fontId="6" fillId="0" borderId="0" xfId="0" applyFont="1" applyAlignment="1">
      <alignment horizontal="right" wrapText="1"/>
    </xf>
    <xf numFmtId="165" fontId="28" fillId="0" borderId="0" xfId="4" applyNumberFormat="1" applyFont="1" applyBorder="1" applyAlignment="1">
      <alignment horizontal="left" wrapText="1"/>
    </xf>
    <xf numFmtId="0" fontId="28" fillId="0" borderId="0" xfId="4" applyNumberFormat="1" applyFont="1" applyBorder="1" applyAlignment="1">
      <alignment horizontal="left" wrapText="1"/>
    </xf>
    <xf numFmtId="0" fontId="7" fillId="2" borderId="0" xfId="0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wrapText="1"/>
    </xf>
    <xf numFmtId="165" fontId="25" fillId="2" borderId="0" xfId="0" applyNumberFormat="1" applyFont="1" applyFill="1" applyAlignment="1">
      <alignment horizont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/>
    <xf numFmtId="0" fontId="19" fillId="0" borderId="0" xfId="0" applyFont="1" applyFill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0">
    <cellStyle name="Гиперссылка" xfId="1" builtinId="8"/>
    <cellStyle name="Обычный" xfId="0" builtinId="0"/>
    <cellStyle name="Обычный 2 2" xfId="2"/>
    <cellStyle name="Обычный 6" xfId="9"/>
    <cellStyle name="Обычный_Источ" xfId="3"/>
    <cellStyle name="Обычный_пр. 10" xfId="4"/>
    <cellStyle name="Обычный_пр. 7" xfId="5"/>
    <cellStyle name="Обычный_свод" xfId="6"/>
    <cellStyle name="Процентный" xfId="7" builtinId="5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102;&#1076;&#1078;&#1077;&#1090;%202018-2020%20&#1075;&#1086;&#1076;&#1099;\3_&#1072;&#1087;&#1088;&#1077;&#1083;&#1100;\&#1055;&#1088;&#1080;&#1083;&#1086;&#1078;&#1077;&#1085;&#1080;&#1103;%201-11%2025&#1089;&#1077;&#1085;&#1090;&#1103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1"/>
      <sheetName val="пр.2"/>
      <sheetName val="пр.3"/>
      <sheetName val="пр.3-1"/>
      <sheetName val="пр. 4"/>
      <sheetName val="пр. 5"/>
      <sheetName val="пр. 6"/>
      <sheetName val="пр. 7"/>
      <sheetName val="пр. 8"/>
      <sheetName val="пр.9"/>
      <sheetName val="пр. 10"/>
      <sheetName val="пр. 11"/>
      <sheetName val="город "/>
      <sheetName val="поправки "/>
      <sheetName val="поправки упрощ.вариант "/>
      <sheetName val="ППНиНДi"/>
      <sheetName val="Рi пр"/>
      <sheetName val="Дi"/>
      <sheetName val="Нпрi"/>
      <sheetName val="Лист1"/>
      <sheetName val="Лист2"/>
      <sheetName val="касс.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9">
          <cell r="H49">
            <v>0</v>
          </cell>
        </row>
        <row r="758">
          <cell r="H758">
            <v>388583.76954000001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main?base=LAW;n=117058;fld=134;dst=1304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pandia.ru/text/category/munitcipalmznie_obrazovaniya/" TargetMode="External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pandia.ru/text/category/munitcipalmznie_obrazovaniya/" TargetMode="External"/><Relationship Id="rId1" Type="http://schemas.openxmlformats.org/officeDocument/2006/relationships/hyperlink" Target="http://www.pandia.ru/text/category/munitcipalmznie_obrazovaniya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G89"/>
  <sheetViews>
    <sheetView view="pageBreakPreview" topLeftCell="A55" zoomScale="80" zoomScaleSheetLayoutView="80" workbookViewId="0">
      <selection sqref="A1:D61"/>
    </sheetView>
  </sheetViews>
  <sheetFormatPr defaultRowHeight="12.75"/>
  <cols>
    <col min="1" max="1" width="5.28515625" style="4" customWidth="1"/>
    <col min="2" max="2" width="9.85546875" style="11" customWidth="1"/>
    <col min="3" max="3" width="24.42578125" style="4" customWidth="1"/>
    <col min="4" max="4" width="64.28515625" style="1" customWidth="1"/>
    <col min="5" max="16384" width="9.140625" style="4"/>
  </cols>
  <sheetData>
    <row r="1" spans="1:7" ht="18.75">
      <c r="A1" s="6"/>
      <c r="B1" s="9"/>
      <c r="C1" s="6"/>
      <c r="D1" s="733" t="s">
        <v>367</v>
      </c>
    </row>
    <row r="2" spans="1:7" ht="18.75">
      <c r="A2" s="6"/>
      <c r="B2" s="9"/>
      <c r="C2" s="6"/>
      <c r="D2" s="733" t="s">
        <v>204</v>
      </c>
    </row>
    <row r="3" spans="1:7" ht="15.75" customHeight="1">
      <c r="A3" s="6"/>
      <c r="B3" s="9"/>
      <c r="C3" s="6"/>
      <c r="D3" s="733" t="s">
        <v>306</v>
      </c>
    </row>
    <row r="4" spans="1:7" ht="15.75" customHeight="1">
      <c r="A4" s="6"/>
      <c r="B4" s="9"/>
      <c r="C4" s="6"/>
      <c r="D4" s="733" t="s">
        <v>153</v>
      </c>
    </row>
    <row r="5" spans="1:7" ht="18.75">
      <c r="A5" s="6"/>
      <c r="B5" s="9"/>
      <c r="C5" s="6"/>
      <c r="D5" s="733" t="s">
        <v>307</v>
      </c>
    </row>
    <row r="6" spans="1:7" ht="20.25" customHeight="1">
      <c r="A6" s="6"/>
      <c r="B6" s="9"/>
      <c r="C6" s="6"/>
      <c r="D6" s="781" t="s">
        <v>846</v>
      </c>
      <c r="E6" s="5"/>
      <c r="F6" s="5"/>
      <c r="G6" s="5"/>
    </row>
    <row r="7" spans="1:7" ht="18.75" customHeight="1">
      <c r="A7" s="6"/>
      <c r="B7" s="9"/>
      <c r="C7" s="6"/>
      <c r="D7" s="781" t="s">
        <v>1154</v>
      </c>
    </row>
    <row r="8" spans="1:7" ht="15.75" customHeight="1">
      <c r="A8" s="6"/>
      <c r="B8" s="9"/>
      <c r="C8" s="6"/>
      <c r="D8" s="7"/>
    </row>
    <row r="9" spans="1:7" ht="40.5" customHeight="1">
      <c r="A9" s="830" t="s">
        <v>473</v>
      </c>
      <c r="B9" s="830"/>
      <c r="C9" s="830"/>
      <c r="D9" s="830"/>
    </row>
    <row r="10" spans="1:7" s="18" customFormat="1" ht="15" customHeight="1">
      <c r="A10" s="3"/>
      <c r="B10" s="10"/>
      <c r="C10" s="3"/>
      <c r="D10" s="2"/>
    </row>
    <row r="11" spans="1:7" ht="42" customHeight="1">
      <c r="A11" s="732" t="s">
        <v>368</v>
      </c>
      <c r="B11" s="831" t="s">
        <v>369</v>
      </c>
      <c r="C11" s="832"/>
      <c r="D11" s="833" t="s">
        <v>209</v>
      </c>
    </row>
    <row r="12" spans="1:7" ht="57">
      <c r="A12" s="732"/>
      <c r="B12" s="734" t="s">
        <v>370</v>
      </c>
      <c r="C12" s="732" t="s">
        <v>372</v>
      </c>
      <c r="D12" s="834"/>
    </row>
    <row r="13" spans="1:7" ht="14.25">
      <c r="A13" s="64">
        <v>1</v>
      </c>
      <c r="B13" s="835" t="s">
        <v>308</v>
      </c>
      <c r="C13" s="835"/>
      <c r="D13" s="835"/>
    </row>
    <row r="14" spans="1:7" ht="15">
      <c r="A14" s="735"/>
      <c r="B14" s="16" t="s">
        <v>311</v>
      </c>
      <c r="C14" s="8" t="s">
        <v>309</v>
      </c>
      <c r="D14" s="588" t="s">
        <v>310</v>
      </c>
    </row>
    <row r="15" spans="1:7" ht="124.5" customHeight="1">
      <c r="A15" s="735"/>
      <c r="B15" s="16" t="s">
        <v>311</v>
      </c>
      <c r="C15" s="736" t="s">
        <v>1119</v>
      </c>
      <c r="D15" s="737" t="s">
        <v>1120</v>
      </c>
    </row>
    <row r="16" spans="1:7" s="18" customFormat="1" ht="24.75" customHeight="1">
      <c r="A16" s="64">
        <v>2</v>
      </c>
      <c r="B16" s="827" t="s">
        <v>312</v>
      </c>
      <c r="C16" s="828"/>
      <c r="D16" s="828"/>
    </row>
    <row r="17" spans="1:4" ht="124.5" customHeight="1">
      <c r="A17" s="735"/>
      <c r="B17" s="738" t="s">
        <v>313</v>
      </c>
      <c r="C17" s="736" t="s">
        <v>1119</v>
      </c>
      <c r="D17" s="737" t="s">
        <v>1120</v>
      </c>
    </row>
    <row r="18" spans="1:4" ht="14.25">
      <c r="A18" s="64">
        <v>3</v>
      </c>
      <c r="B18" s="827" t="s">
        <v>128</v>
      </c>
      <c r="C18" s="827"/>
      <c r="D18" s="827"/>
    </row>
    <row r="19" spans="1:4" s="18" customFormat="1" ht="28.5" customHeight="1">
      <c r="A19" s="735"/>
      <c r="B19" s="13">
        <v>100</v>
      </c>
      <c r="C19" s="17" t="s">
        <v>22</v>
      </c>
      <c r="D19" s="589" t="s">
        <v>504</v>
      </c>
    </row>
    <row r="20" spans="1:4" ht="28.5" customHeight="1">
      <c r="A20" s="735"/>
      <c r="B20" s="13">
        <v>100</v>
      </c>
      <c r="C20" s="17" t="s">
        <v>24</v>
      </c>
      <c r="D20" s="589" t="s">
        <v>25</v>
      </c>
    </row>
    <row r="21" spans="1:4" ht="60.75" customHeight="1">
      <c r="A21" s="735"/>
      <c r="B21" s="13">
        <v>100</v>
      </c>
      <c r="C21" s="17" t="s">
        <v>26</v>
      </c>
      <c r="D21" s="589" t="s">
        <v>27</v>
      </c>
    </row>
    <row r="22" spans="1:4" ht="14.25" customHeight="1">
      <c r="A22" s="735"/>
      <c r="B22" s="13">
        <v>100</v>
      </c>
      <c r="C22" s="17" t="s">
        <v>28</v>
      </c>
      <c r="D22" s="589" t="s">
        <v>29</v>
      </c>
    </row>
    <row r="23" spans="1:4" ht="14.25">
      <c r="A23" s="64">
        <v>4</v>
      </c>
      <c r="B23" s="828" t="s">
        <v>314</v>
      </c>
      <c r="C23" s="828"/>
      <c r="D23" s="828"/>
    </row>
    <row r="24" spans="1:4" ht="120">
      <c r="A24" s="65"/>
      <c r="B24" s="739" t="s">
        <v>315</v>
      </c>
      <c r="C24" s="740" t="s">
        <v>1119</v>
      </c>
      <c r="D24" s="741" t="s">
        <v>1120</v>
      </c>
    </row>
    <row r="25" spans="1:4" ht="14.25">
      <c r="A25" s="742">
        <v>5</v>
      </c>
      <c r="B25" s="836" t="s">
        <v>126</v>
      </c>
      <c r="C25" s="837"/>
      <c r="D25" s="838"/>
    </row>
    <row r="26" spans="1:4" ht="120">
      <c r="A26" s="743"/>
      <c r="B26" s="16" t="s">
        <v>125</v>
      </c>
      <c r="C26" s="744" t="s">
        <v>1119</v>
      </c>
      <c r="D26" s="741" t="s">
        <v>1120</v>
      </c>
    </row>
    <row r="27" spans="1:4" s="18" customFormat="1" ht="20.25" customHeight="1">
      <c r="A27" s="19">
        <v>6</v>
      </c>
      <c r="B27" s="827" t="s">
        <v>316</v>
      </c>
      <c r="C27" s="828"/>
      <c r="D27" s="829"/>
    </row>
    <row r="28" spans="1:4" ht="61.5" customHeight="1">
      <c r="A28" s="755"/>
      <c r="B28" s="13">
        <v>182</v>
      </c>
      <c r="C28" s="17" t="s">
        <v>317</v>
      </c>
      <c r="D28" s="20" t="s">
        <v>318</v>
      </c>
    </row>
    <row r="29" spans="1:4" ht="105">
      <c r="A29" s="756"/>
      <c r="B29" s="13">
        <v>182</v>
      </c>
      <c r="C29" s="17" t="s">
        <v>319</v>
      </c>
      <c r="D29" s="20" t="s">
        <v>505</v>
      </c>
    </row>
    <row r="30" spans="1:4" ht="45">
      <c r="A30" s="756"/>
      <c r="B30" s="13">
        <v>182</v>
      </c>
      <c r="C30" s="17" t="s">
        <v>321</v>
      </c>
      <c r="D30" s="20" t="s">
        <v>506</v>
      </c>
    </row>
    <row r="31" spans="1:4" ht="90">
      <c r="A31" s="756"/>
      <c r="B31" s="13">
        <v>182</v>
      </c>
      <c r="C31" s="17" t="s">
        <v>20</v>
      </c>
      <c r="D31" s="20" t="s">
        <v>507</v>
      </c>
    </row>
    <row r="32" spans="1:4" ht="30">
      <c r="A32" s="756"/>
      <c r="B32" s="13">
        <v>182</v>
      </c>
      <c r="C32" s="17" t="s">
        <v>610</v>
      </c>
      <c r="D32" s="20" t="s">
        <v>609</v>
      </c>
    </row>
    <row r="33" spans="1:4" ht="60">
      <c r="A33" s="756"/>
      <c r="B33" s="13">
        <v>182</v>
      </c>
      <c r="C33" s="17" t="s">
        <v>611</v>
      </c>
      <c r="D33" s="20" t="s">
        <v>612</v>
      </c>
    </row>
    <row r="34" spans="1:4" ht="45">
      <c r="A34" s="756"/>
      <c r="B34" s="13">
        <v>182</v>
      </c>
      <c r="C34" s="17" t="s">
        <v>614</v>
      </c>
      <c r="D34" s="20" t="s">
        <v>613</v>
      </c>
    </row>
    <row r="35" spans="1:4" ht="15" customHeight="1">
      <c r="A35" s="756"/>
      <c r="B35" s="13">
        <v>182</v>
      </c>
      <c r="C35" s="17" t="s">
        <v>30</v>
      </c>
      <c r="D35" s="15" t="s">
        <v>31</v>
      </c>
    </row>
    <row r="36" spans="1:4" ht="45">
      <c r="A36" s="756"/>
      <c r="B36" s="13">
        <v>182</v>
      </c>
      <c r="C36" s="17" t="s">
        <v>32</v>
      </c>
      <c r="D36" s="14" t="s">
        <v>33</v>
      </c>
    </row>
    <row r="37" spans="1:4" s="12" customFormat="1" ht="14.25" customHeight="1">
      <c r="A37" s="756"/>
      <c r="B37" s="13">
        <v>182</v>
      </c>
      <c r="C37" s="17" t="s">
        <v>34</v>
      </c>
      <c r="D37" s="15" t="s">
        <v>35</v>
      </c>
    </row>
    <row r="38" spans="1:4" ht="30">
      <c r="A38" s="756"/>
      <c r="B38" s="13">
        <v>182</v>
      </c>
      <c r="C38" s="17" t="s">
        <v>36</v>
      </c>
      <c r="D38" s="14" t="s">
        <v>400</v>
      </c>
    </row>
    <row r="39" spans="1:4" ht="36.75" customHeight="1">
      <c r="A39" s="756"/>
      <c r="B39" s="13">
        <v>182</v>
      </c>
      <c r="C39" s="17" t="s">
        <v>127</v>
      </c>
      <c r="D39" s="14" t="s">
        <v>60</v>
      </c>
    </row>
    <row r="40" spans="1:4" ht="45">
      <c r="A40" s="756"/>
      <c r="B40" s="13">
        <v>182</v>
      </c>
      <c r="C40" s="13" t="s">
        <v>37</v>
      </c>
      <c r="D40" s="14" t="s">
        <v>38</v>
      </c>
    </row>
    <row r="41" spans="1:4" ht="30">
      <c r="A41" s="756"/>
      <c r="B41" s="13">
        <v>182</v>
      </c>
      <c r="C41" s="13" t="s">
        <v>39</v>
      </c>
      <c r="D41" s="15" t="s">
        <v>40</v>
      </c>
    </row>
    <row r="42" spans="1:4" ht="75">
      <c r="A42" s="756"/>
      <c r="B42" s="745">
        <v>182</v>
      </c>
      <c r="C42" s="740" t="s">
        <v>1121</v>
      </c>
      <c r="D42" s="746" t="s">
        <v>1122</v>
      </c>
    </row>
    <row r="43" spans="1:4" ht="14.25" customHeight="1">
      <c r="A43" s="756">
        <v>7</v>
      </c>
      <c r="B43" s="840" t="s">
        <v>41</v>
      </c>
      <c r="C43" s="840"/>
      <c r="D43" s="841"/>
    </row>
    <row r="44" spans="1:4" ht="120">
      <c r="A44" s="757"/>
      <c r="B44" s="747">
        <v>188</v>
      </c>
      <c r="C44" s="740" t="s">
        <v>1119</v>
      </c>
      <c r="D44" s="748" t="s">
        <v>1120</v>
      </c>
    </row>
    <row r="45" spans="1:4" ht="15">
      <c r="A45" s="730">
        <v>8</v>
      </c>
      <c r="B45" s="840" t="s">
        <v>121</v>
      </c>
      <c r="C45" s="840"/>
      <c r="D45" s="841"/>
    </row>
    <row r="46" spans="1:4" ht="120">
      <c r="A46" s="730"/>
      <c r="B46" s="745">
        <v>321</v>
      </c>
      <c r="C46" s="740" t="s">
        <v>1119</v>
      </c>
      <c r="D46" s="737" t="s">
        <v>1120</v>
      </c>
    </row>
    <row r="47" spans="1:4" ht="14.25">
      <c r="A47" s="731">
        <v>9</v>
      </c>
      <c r="B47" s="842" t="s">
        <v>108</v>
      </c>
      <c r="C47" s="842"/>
      <c r="D47" s="842"/>
    </row>
    <row r="48" spans="1:4" ht="31.5" customHeight="1">
      <c r="A48" s="843"/>
      <c r="B48" s="749">
        <v>0</v>
      </c>
      <c r="C48" s="411" t="s">
        <v>1123</v>
      </c>
      <c r="D48" s="762" t="s">
        <v>1146</v>
      </c>
    </row>
    <row r="49" spans="1:5" ht="60">
      <c r="A49" s="839"/>
      <c r="B49" s="749">
        <v>0</v>
      </c>
      <c r="C49" s="758" t="s">
        <v>1124</v>
      </c>
      <c r="D49" s="763" t="s">
        <v>1125</v>
      </c>
    </row>
    <row r="50" spans="1:5" ht="57.75" customHeight="1">
      <c r="A50" s="839"/>
      <c r="B50" s="749">
        <v>0</v>
      </c>
      <c r="C50" s="759" t="s">
        <v>1126</v>
      </c>
      <c r="D50" s="764" t="s">
        <v>1127</v>
      </c>
    </row>
    <row r="51" spans="1:5" ht="86.25" customHeight="1">
      <c r="A51" s="750"/>
      <c r="B51" s="749">
        <v>0</v>
      </c>
      <c r="C51" s="411" t="s">
        <v>1128</v>
      </c>
      <c r="D51" s="762" t="s">
        <v>1129</v>
      </c>
    </row>
    <row r="52" spans="1:5" ht="84" customHeight="1">
      <c r="A52" s="839"/>
      <c r="B52" s="749">
        <v>0</v>
      </c>
      <c r="C52" s="758" t="s">
        <v>1130</v>
      </c>
      <c r="D52" s="762" t="s">
        <v>1147</v>
      </c>
    </row>
    <row r="53" spans="1:5" ht="95.25" customHeight="1">
      <c r="A53" s="839"/>
      <c r="B53" s="749">
        <v>0</v>
      </c>
      <c r="C53" s="758" t="s">
        <v>1131</v>
      </c>
      <c r="D53" s="762" t="s">
        <v>1148</v>
      </c>
    </row>
    <row r="54" spans="1:5" ht="62.25" customHeight="1">
      <c r="A54" s="750"/>
      <c r="B54" s="749">
        <v>0</v>
      </c>
      <c r="C54" s="411" t="s">
        <v>1132</v>
      </c>
      <c r="D54" s="762" t="s">
        <v>1149</v>
      </c>
    </row>
    <row r="55" spans="1:5" ht="45.75" customHeight="1">
      <c r="A55" s="839"/>
      <c r="B55" s="749">
        <v>0</v>
      </c>
      <c r="C55" s="411" t="s">
        <v>1133</v>
      </c>
      <c r="D55" s="762" t="s">
        <v>1134</v>
      </c>
    </row>
    <row r="56" spans="1:5" s="18" customFormat="1" ht="14.25" customHeight="1">
      <c r="A56" s="839"/>
      <c r="B56" s="751">
        <v>0</v>
      </c>
      <c r="C56" s="758" t="s">
        <v>1135</v>
      </c>
      <c r="D56" s="762" t="s">
        <v>1150</v>
      </c>
      <c r="E56" s="21"/>
    </row>
    <row r="57" spans="1:5" s="18" customFormat="1" ht="14.25" customHeight="1">
      <c r="A57" s="750"/>
      <c r="B57" s="752">
        <v>0</v>
      </c>
      <c r="C57" s="411" t="s">
        <v>1136</v>
      </c>
      <c r="D57" s="762" t="s">
        <v>1137</v>
      </c>
      <c r="E57" s="21"/>
    </row>
    <row r="58" spans="1:5" s="18" customFormat="1" ht="38.25">
      <c r="A58" s="753"/>
      <c r="B58" s="752">
        <v>0</v>
      </c>
      <c r="C58" s="779" t="s">
        <v>1152</v>
      </c>
      <c r="D58" s="780" t="s">
        <v>1151</v>
      </c>
      <c r="E58" s="21"/>
    </row>
    <row r="59" spans="1:5" ht="48">
      <c r="A59" s="750"/>
      <c r="B59" s="752">
        <v>0</v>
      </c>
      <c r="C59" s="766" t="s">
        <v>1140</v>
      </c>
      <c r="D59" s="763" t="s">
        <v>1141</v>
      </c>
      <c r="E59" s="1"/>
    </row>
    <row r="60" spans="1:5" ht="48">
      <c r="A60" s="754"/>
      <c r="B60" s="752">
        <v>0</v>
      </c>
      <c r="C60" s="411" t="s">
        <v>1138</v>
      </c>
      <c r="D60" s="763" t="s">
        <v>1139</v>
      </c>
      <c r="E60" s="1"/>
    </row>
    <row r="61" spans="1:5" s="18" customFormat="1" ht="14.25" customHeight="1">
      <c r="A61" s="4"/>
      <c r="B61" s="786" t="s">
        <v>1153</v>
      </c>
      <c r="C61" s="411" t="s">
        <v>1142</v>
      </c>
      <c r="D61" s="765" t="s">
        <v>1143</v>
      </c>
      <c r="E61" s="21"/>
    </row>
    <row r="62" spans="1:5">
      <c r="E62" s="1"/>
    </row>
    <row r="63" spans="1:5" ht="14.25" customHeight="1">
      <c r="E63" s="1"/>
    </row>
    <row r="64" spans="1:5" s="18" customFormat="1">
      <c r="A64" s="4"/>
      <c r="B64" s="11"/>
      <c r="C64" s="4"/>
      <c r="D64" s="1"/>
      <c r="E64" s="21"/>
    </row>
    <row r="65" spans="1:5">
      <c r="E65" s="1"/>
    </row>
    <row r="66" spans="1:5" ht="14.25" customHeight="1">
      <c r="E66" s="1"/>
    </row>
    <row r="67" spans="1:5" s="18" customFormat="1">
      <c r="A67" s="4"/>
      <c r="B67" s="11"/>
      <c r="C67" s="4"/>
      <c r="D67" s="1"/>
      <c r="E67" s="21"/>
    </row>
    <row r="68" spans="1:5">
      <c r="E68" s="1"/>
    </row>
    <row r="69" spans="1:5" s="18" customFormat="1" ht="14.25" customHeight="1">
      <c r="A69" s="4"/>
      <c r="B69" s="11"/>
      <c r="C69" s="4"/>
      <c r="D69" s="1"/>
      <c r="E69" s="21"/>
    </row>
    <row r="70" spans="1:5">
      <c r="E70" s="1"/>
    </row>
    <row r="71" spans="1:5" ht="14.25" customHeight="1">
      <c r="E71" s="1"/>
    </row>
    <row r="72" spans="1:5">
      <c r="E72" s="1"/>
    </row>
    <row r="73" spans="1:5" s="18" customFormat="1" ht="14.25" customHeight="1">
      <c r="A73" s="21"/>
    </row>
    <row r="74" spans="1:5">
      <c r="A74" s="1"/>
      <c r="B74" s="4"/>
      <c r="D74" s="4"/>
    </row>
    <row r="75" spans="1:5" s="18" customFormat="1" ht="34.5" customHeight="1">
      <c r="A75" s="21"/>
    </row>
    <row r="76" spans="1:5" ht="33" customHeight="1">
      <c r="A76" s="1"/>
      <c r="B76" s="4"/>
      <c r="D76" s="4"/>
    </row>
    <row r="77" spans="1:5" ht="14.25" customHeight="1">
      <c r="A77" s="1"/>
      <c r="B77" s="4"/>
      <c r="D77" s="4"/>
    </row>
    <row r="78" spans="1:5" s="18" customFormat="1">
      <c r="A78" s="21"/>
    </row>
    <row r="79" spans="1:5">
      <c r="A79" s="1"/>
      <c r="B79" s="4"/>
      <c r="D79" s="4"/>
    </row>
    <row r="80" spans="1:5" ht="32.25" customHeight="1">
      <c r="A80" s="1"/>
      <c r="B80" s="4"/>
      <c r="D80" s="4"/>
    </row>
    <row r="81" spans="1:4" ht="32.25" customHeight="1">
      <c r="A81" s="1"/>
      <c r="B81" s="4"/>
      <c r="D81" s="4"/>
    </row>
    <row r="82" spans="1:4">
      <c r="A82" s="1"/>
      <c r="B82" s="4"/>
      <c r="D82" s="4"/>
    </row>
    <row r="83" spans="1:4">
      <c r="A83" s="1"/>
      <c r="B83" s="4"/>
      <c r="D83" s="4"/>
    </row>
    <row r="84" spans="1:4">
      <c r="A84" s="1"/>
      <c r="B84" s="4"/>
      <c r="D84" s="4"/>
    </row>
    <row r="85" spans="1:4">
      <c r="A85" s="1"/>
      <c r="B85" s="4"/>
      <c r="D85" s="4"/>
    </row>
    <row r="86" spans="1:4">
      <c r="A86" s="27"/>
      <c r="B86" s="4"/>
      <c r="D86" s="4"/>
    </row>
    <row r="87" spans="1:4">
      <c r="A87" s="1"/>
      <c r="B87" s="4"/>
      <c r="D87" s="4"/>
    </row>
    <row r="88" spans="1:4">
      <c r="B88" s="4"/>
      <c r="D88" s="4"/>
    </row>
    <row r="89" spans="1:4">
      <c r="B89" s="4"/>
      <c r="D89" s="4"/>
    </row>
  </sheetData>
  <mergeCells count="15">
    <mergeCell ref="A52:A53"/>
    <mergeCell ref="A55:A56"/>
    <mergeCell ref="B43:D43"/>
    <mergeCell ref="B45:D45"/>
    <mergeCell ref="B47:D47"/>
    <mergeCell ref="A48:A50"/>
    <mergeCell ref="B16:D16"/>
    <mergeCell ref="B27:D27"/>
    <mergeCell ref="A9:D9"/>
    <mergeCell ref="B11:C11"/>
    <mergeCell ref="D11:D12"/>
    <mergeCell ref="B13:D13"/>
    <mergeCell ref="B18:D18"/>
    <mergeCell ref="B23:D23"/>
    <mergeCell ref="B25:D25"/>
  </mergeCells>
  <phoneticPr fontId="13" type="noConversion"/>
  <hyperlinks>
    <hyperlink ref="D52" r:id="rId1" display="consultantplus://offline/main?base=LAW;n=117058;fld=134;dst=1304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  <rowBreaks count="1" manualBreakCount="1">
    <brk id="6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L493"/>
  <sheetViews>
    <sheetView view="pageBreakPreview" zoomScale="70" zoomScaleSheetLayoutView="7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H485" sqref="A1:H485"/>
    </sheetView>
  </sheetViews>
  <sheetFormatPr defaultRowHeight="15.75"/>
  <cols>
    <col min="1" max="1" width="68.42578125" style="125" customWidth="1"/>
    <col min="2" max="2" width="10.7109375" style="70" customWidth="1"/>
    <col min="3" max="3" width="9.28515625" style="70" customWidth="1"/>
    <col min="4" max="4" width="9" style="70" customWidth="1"/>
    <col min="5" max="5" width="16.28515625" style="119" customWidth="1"/>
    <col min="6" max="6" width="8.7109375" style="84" customWidth="1"/>
    <col min="7" max="7" width="23.28515625" style="85" customWidth="1"/>
    <col min="8" max="8" width="18.7109375" style="393" customWidth="1"/>
    <col min="9" max="9" width="19" style="70" customWidth="1"/>
    <col min="10" max="10" width="23" style="70" customWidth="1"/>
    <col min="11" max="11" width="15.28515625" style="70" customWidth="1"/>
    <col min="12" max="12" width="22.140625" style="70" customWidth="1"/>
    <col min="13" max="13" width="15" style="70" bestFit="1" customWidth="1"/>
    <col min="14" max="16384" width="9.140625" style="70"/>
  </cols>
  <sheetData>
    <row r="1" spans="1:9">
      <c r="D1" s="882" t="s">
        <v>503</v>
      </c>
      <c r="E1" s="882"/>
      <c r="F1" s="882"/>
      <c r="G1" s="882"/>
      <c r="H1" s="882"/>
    </row>
    <row r="2" spans="1:9">
      <c r="D2" s="882" t="s">
        <v>204</v>
      </c>
      <c r="E2" s="882"/>
      <c r="F2" s="882"/>
      <c r="G2" s="882"/>
      <c r="H2" s="882"/>
    </row>
    <row r="3" spans="1:9">
      <c r="E3" s="882" t="s">
        <v>195</v>
      </c>
      <c r="F3" s="882"/>
      <c r="G3" s="882"/>
      <c r="H3" s="882"/>
    </row>
    <row r="4" spans="1:9">
      <c r="D4" s="882" t="s">
        <v>153</v>
      </c>
      <c r="E4" s="882"/>
      <c r="F4" s="882"/>
      <c r="G4" s="882"/>
      <c r="H4" s="882"/>
    </row>
    <row r="5" spans="1:9">
      <c r="E5" s="882" t="s">
        <v>196</v>
      </c>
      <c r="F5" s="882"/>
      <c r="G5" s="882"/>
      <c r="H5" s="882"/>
    </row>
    <row r="6" spans="1:9">
      <c r="E6" s="882" t="s">
        <v>1074</v>
      </c>
      <c r="F6" s="882"/>
      <c r="G6" s="882"/>
      <c r="H6" s="882"/>
    </row>
    <row r="7" spans="1:9" ht="15.75" customHeight="1">
      <c r="D7" s="883" t="s">
        <v>1097</v>
      </c>
      <c r="E7" s="883"/>
      <c r="F7" s="883"/>
      <c r="G7" s="883"/>
      <c r="H7" s="883"/>
    </row>
    <row r="9" spans="1:9">
      <c r="A9" s="886" t="s">
        <v>1096</v>
      </c>
      <c r="B9" s="886"/>
      <c r="C9" s="886"/>
      <c r="D9" s="886"/>
      <c r="E9" s="886"/>
      <c r="F9" s="886"/>
      <c r="G9" s="887"/>
      <c r="H9" s="394"/>
    </row>
    <row r="10" spans="1:9">
      <c r="A10" s="888"/>
      <c r="B10" s="888"/>
      <c r="C10" s="888"/>
      <c r="D10" s="888"/>
      <c r="E10" s="888"/>
      <c r="F10" s="888"/>
      <c r="G10" s="889"/>
      <c r="H10" s="394"/>
    </row>
    <row r="11" spans="1:9">
      <c r="B11" s="86"/>
      <c r="C11" s="86"/>
      <c r="D11" s="86"/>
      <c r="E11" s="120"/>
      <c r="F11" s="87"/>
      <c r="G11" s="88" t="s">
        <v>155</v>
      </c>
    </row>
    <row r="12" spans="1:9" s="90" customFormat="1" ht="68.25" customHeight="1">
      <c r="A12" s="93" t="s">
        <v>209</v>
      </c>
      <c r="B12" s="93" t="s">
        <v>305</v>
      </c>
      <c r="C12" s="93" t="s">
        <v>210</v>
      </c>
      <c r="D12" s="93" t="s">
        <v>211</v>
      </c>
      <c r="E12" s="117" t="s">
        <v>212</v>
      </c>
      <c r="F12" s="93" t="s">
        <v>213</v>
      </c>
      <c r="G12" s="89" t="s">
        <v>214</v>
      </c>
      <c r="H12" s="384" t="s">
        <v>43</v>
      </c>
    </row>
    <row r="13" spans="1:9" s="90" customFormat="1">
      <c r="A13" s="124" t="s">
        <v>197</v>
      </c>
      <c r="B13" s="99">
        <v>930</v>
      </c>
      <c r="C13" s="100"/>
      <c r="D13" s="100"/>
      <c r="E13" s="100"/>
      <c r="F13" s="100"/>
      <c r="G13" s="101">
        <f>G14</f>
        <v>3649.6179999999999</v>
      </c>
      <c r="H13" s="101">
        <f>H14</f>
        <v>0</v>
      </c>
      <c r="I13" s="147">
        <f>G13-H13</f>
        <v>3649.6179999999999</v>
      </c>
    </row>
    <row r="14" spans="1:9" s="90" customFormat="1">
      <c r="A14" s="80" t="s">
        <v>229</v>
      </c>
      <c r="B14" s="102">
        <v>930</v>
      </c>
      <c r="C14" s="103" t="s">
        <v>215</v>
      </c>
      <c r="D14" s="103"/>
      <c r="E14" s="103"/>
      <c r="F14" s="103"/>
      <c r="G14" s="104">
        <f>G15+G27</f>
        <v>3649.6179999999999</v>
      </c>
      <c r="H14" s="104">
        <f>H15+H27</f>
        <v>0</v>
      </c>
    </row>
    <row r="15" spans="1:9" s="90" customFormat="1" ht="54.75" customHeight="1">
      <c r="A15" s="79" t="s">
        <v>353</v>
      </c>
      <c r="B15" s="105">
        <v>930</v>
      </c>
      <c r="C15" s="106" t="s">
        <v>215</v>
      </c>
      <c r="D15" s="106" t="s">
        <v>218</v>
      </c>
      <c r="E15" s="106"/>
      <c r="F15" s="106"/>
      <c r="G15" s="107">
        <f>G16+G24</f>
        <v>1919.7874999999999</v>
      </c>
      <c r="H15" s="107">
        <f>H16</f>
        <v>0</v>
      </c>
    </row>
    <row r="16" spans="1:9" s="90" customFormat="1" ht="31.5">
      <c r="A16" s="77" t="s">
        <v>424</v>
      </c>
      <c r="B16" s="97">
        <v>930</v>
      </c>
      <c r="C16" s="95" t="s">
        <v>215</v>
      </c>
      <c r="D16" s="95" t="s">
        <v>218</v>
      </c>
      <c r="E16" s="95" t="s">
        <v>526</v>
      </c>
      <c r="F16" s="95"/>
      <c r="G16" s="108">
        <f>G17+G21</f>
        <v>1539.7874999999999</v>
      </c>
      <c r="H16" s="109">
        <f>H17+H21</f>
        <v>0</v>
      </c>
    </row>
    <row r="17" spans="1:8" s="90" customFormat="1" ht="31.5">
      <c r="A17" s="74" t="s">
        <v>394</v>
      </c>
      <c r="B17" s="97">
        <v>930</v>
      </c>
      <c r="C17" s="95" t="s">
        <v>215</v>
      </c>
      <c r="D17" s="95" t="s">
        <v>218</v>
      </c>
      <c r="E17" s="95" t="s">
        <v>528</v>
      </c>
      <c r="F17" s="95"/>
      <c r="G17" s="202">
        <f>G18+G19+G20</f>
        <v>374.6277</v>
      </c>
      <c r="H17" s="202">
        <f>H18+H19+H20</f>
        <v>0</v>
      </c>
    </row>
    <row r="18" spans="1:8" s="90" customFormat="1">
      <c r="A18" s="76" t="s">
        <v>429</v>
      </c>
      <c r="B18" s="98">
        <v>930</v>
      </c>
      <c r="C18" s="96" t="s">
        <v>215</v>
      </c>
      <c r="D18" s="96" t="s">
        <v>218</v>
      </c>
      <c r="E18" s="96" t="s">
        <v>528</v>
      </c>
      <c r="F18" s="96" t="s">
        <v>412</v>
      </c>
      <c r="G18" s="200">
        <v>204.01769999999999</v>
      </c>
      <c r="H18" s="109">
        <v>0</v>
      </c>
    </row>
    <row r="19" spans="1:8" s="90" customFormat="1" ht="47.25">
      <c r="A19" s="196" t="s">
        <v>430</v>
      </c>
      <c r="B19" s="98">
        <v>930</v>
      </c>
      <c r="C19" s="96" t="s">
        <v>215</v>
      </c>
      <c r="D19" s="96" t="s">
        <v>218</v>
      </c>
      <c r="E19" s="96" t="s">
        <v>528</v>
      </c>
      <c r="F19" s="96" t="s">
        <v>431</v>
      </c>
      <c r="G19" s="200">
        <v>61.61</v>
      </c>
      <c r="H19" s="395">
        <v>0</v>
      </c>
    </row>
    <row r="20" spans="1:8" s="90" customFormat="1" ht="31.5">
      <c r="A20" s="153" t="s">
        <v>275</v>
      </c>
      <c r="B20" s="98">
        <v>930</v>
      </c>
      <c r="C20" s="96" t="s">
        <v>215</v>
      </c>
      <c r="D20" s="96" t="s">
        <v>218</v>
      </c>
      <c r="E20" s="96" t="s">
        <v>528</v>
      </c>
      <c r="F20" s="96" t="s">
        <v>413</v>
      </c>
      <c r="G20" s="200">
        <f>50+9+50</f>
        <v>109</v>
      </c>
      <c r="H20" s="395">
        <v>0</v>
      </c>
    </row>
    <row r="21" spans="1:8" s="90" customFormat="1" ht="35.25" customHeight="1">
      <c r="A21" s="77" t="s">
        <v>386</v>
      </c>
      <c r="B21" s="98">
        <v>930</v>
      </c>
      <c r="C21" s="95" t="s">
        <v>215</v>
      </c>
      <c r="D21" s="95" t="s">
        <v>218</v>
      </c>
      <c r="E21" s="95" t="s">
        <v>529</v>
      </c>
      <c r="F21" s="95"/>
      <c r="G21" s="202">
        <f>G22+G23</f>
        <v>1165.1597999999999</v>
      </c>
      <c r="H21" s="202">
        <f>H22+H23</f>
        <v>0</v>
      </c>
    </row>
    <row r="22" spans="1:8" s="90" customFormat="1">
      <c r="A22" s="76" t="s">
        <v>429</v>
      </c>
      <c r="B22" s="98">
        <v>930</v>
      </c>
      <c r="C22" s="96" t="s">
        <v>215</v>
      </c>
      <c r="D22" s="96" t="s">
        <v>218</v>
      </c>
      <c r="E22" s="96" t="s">
        <v>529</v>
      </c>
      <c r="F22" s="96" t="s">
        <v>412</v>
      </c>
      <c r="G22" s="200">
        <v>894.9</v>
      </c>
      <c r="H22" s="109">
        <v>0</v>
      </c>
    </row>
    <row r="23" spans="1:8" s="90" customFormat="1" ht="47.25">
      <c r="A23" s="196" t="s">
        <v>430</v>
      </c>
      <c r="B23" s="98">
        <v>930</v>
      </c>
      <c r="C23" s="96" t="s">
        <v>215</v>
      </c>
      <c r="D23" s="96" t="s">
        <v>218</v>
      </c>
      <c r="E23" s="96" t="s">
        <v>529</v>
      </c>
      <c r="F23" s="96" t="s">
        <v>431</v>
      </c>
      <c r="G23" s="200">
        <v>270.25979999999998</v>
      </c>
      <c r="H23" s="109">
        <v>0</v>
      </c>
    </row>
    <row r="24" spans="1:8" s="90" customFormat="1">
      <c r="A24" s="77" t="s">
        <v>161</v>
      </c>
      <c r="B24" s="97">
        <v>930</v>
      </c>
      <c r="C24" s="95" t="s">
        <v>215</v>
      </c>
      <c r="D24" s="95" t="s">
        <v>218</v>
      </c>
      <c r="E24" s="95" t="s">
        <v>530</v>
      </c>
      <c r="F24" s="95"/>
      <c r="G24" s="202">
        <f t="shared" ref="G24:H24" si="0">G25</f>
        <v>380</v>
      </c>
      <c r="H24" s="109">
        <f t="shared" si="0"/>
        <v>0</v>
      </c>
    </row>
    <row r="25" spans="1:8" s="92" customFormat="1" ht="31.5">
      <c r="A25" s="77" t="s">
        <v>393</v>
      </c>
      <c r="B25" s="97">
        <v>930</v>
      </c>
      <c r="C25" s="95" t="s">
        <v>215</v>
      </c>
      <c r="D25" s="95" t="s">
        <v>218</v>
      </c>
      <c r="E25" s="95" t="s">
        <v>5</v>
      </c>
      <c r="F25" s="95"/>
      <c r="G25" s="202">
        <f>G26</f>
        <v>380</v>
      </c>
      <c r="H25" s="202">
        <f>H26</f>
        <v>0</v>
      </c>
    </row>
    <row r="26" spans="1:8" s="90" customFormat="1" ht="51" customHeight="1">
      <c r="A26" s="170" t="s">
        <v>140</v>
      </c>
      <c r="B26" s="154">
        <v>930</v>
      </c>
      <c r="C26" s="150" t="s">
        <v>215</v>
      </c>
      <c r="D26" s="150" t="s">
        <v>218</v>
      </c>
      <c r="E26" s="96" t="s">
        <v>5</v>
      </c>
      <c r="F26" s="150" t="s">
        <v>141</v>
      </c>
      <c r="G26" s="149">
        <v>380</v>
      </c>
      <c r="H26" s="149">
        <v>0</v>
      </c>
    </row>
    <row r="27" spans="1:8" s="90" customFormat="1" ht="47.25">
      <c r="A27" s="347" t="s">
        <v>159</v>
      </c>
      <c r="B27" s="348">
        <v>930</v>
      </c>
      <c r="C27" s="349" t="s">
        <v>215</v>
      </c>
      <c r="D27" s="349" t="s">
        <v>221</v>
      </c>
      <c r="E27" s="349"/>
      <c r="F27" s="349"/>
      <c r="G27" s="224">
        <f>G28+G31</f>
        <v>1729.8305</v>
      </c>
      <c r="H27" s="224">
        <f>H28+H31</f>
        <v>0</v>
      </c>
    </row>
    <row r="28" spans="1:8" s="90" customFormat="1" ht="31.5">
      <c r="A28" s="223" t="s">
        <v>391</v>
      </c>
      <c r="B28" s="346">
        <v>930</v>
      </c>
      <c r="C28" s="201" t="s">
        <v>215</v>
      </c>
      <c r="D28" s="201" t="s">
        <v>221</v>
      </c>
      <c r="E28" s="201" t="s">
        <v>533</v>
      </c>
      <c r="F28" s="201"/>
      <c r="G28" s="202">
        <f>G29+G30</f>
        <v>435.6</v>
      </c>
      <c r="H28" s="202">
        <f>H29+H30</f>
        <v>0</v>
      </c>
    </row>
    <row r="29" spans="1:8" s="90" customFormat="1">
      <c r="A29" s="76" t="s">
        <v>429</v>
      </c>
      <c r="B29" s="98">
        <v>930</v>
      </c>
      <c r="C29" s="96" t="s">
        <v>215</v>
      </c>
      <c r="D29" s="96" t="s">
        <v>221</v>
      </c>
      <c r="E29" s="205" t="s">
        <v>533</v>
      </c>
      <c r="F29" s="96" t="s">
        <v>412</v>
      </c>
      <c r="G29" s="149">
        <v>334.56220999999999</v>
      </c>
      <c r="H29" s="109">
        <v>0</v>
      </c>
    </row>
    <row r="30" spans="1:8" s="90" customFormat="1" ht="47.25">
      <c r="A30" s="196" t="s">
        <v>430</v>
      </c>
      <c r="B30" s="98">
        <v>930</v>
      </c>
      <c r="C30" s="96" t="s">
        <v>215</v>
      </c>
      <c r="D30" s="96" t="s">
        <v>221</v>
      </c>
      <c r="E30" s="205" t="s">
        <v>533</v>
      </c>
      <c r="F30" s="96" t="s">
        <v>431</v>
      </c>
      <c r="G30" s="149">
        <v>101.03779</v>
      </c>
      <c r="H30" s="109">
        <v>0</v>
      </c>
    </row>
    <row r="31" spans="1:8" s="90" customFormat="1" ht="31.5">
      <c r="A31" s="223" t="s">
        <v>424</v>
      </c>
      <c r="B31" s="345">
        <v>930</v>
      </c>
      <c r="C31" s="201" t="s">
        <v>215</v>
      </c>
      <c r="D31" s="201" t="s">
        <v>221</v>
      </c>
      <c r="E31" s="201" t="s">
        <v>526</v>
      </c>
      <c r="F31" s="201"/>
      <c r="G31" s="200">
        <f>G32+G35</f>
        <v>1294.2305000000001</v>
      </c>
      <c r="H31" s="200">
        <f>H32+H35</f>
        <v>0</v>
      </c>
    </row>
    <row r="32" spans="1:8" s="90" customFormat="1" ht="47.25">
      <c r="A32" s="223" t="s">
        <v>387</v>
      </c>
      <c r="B32" s="346">
        <v>930</v>
      </c>
      <c r="C32" s="201" t="s">
        <v>215</v>
      </c>
      <c r="D32" s="201" t="s">
        <v>221</v>
      </c>
      <c r="E32" s="201" t="s">
        <v>534</v>
      </c>
      <c r="F32" s="201"/>
      <c r="G32" s="202">
        <f>G33+G34</f>
        <v>914.21249999999998</v>
      </c>
      <c r="H32" s="202">
        <f>H33+H34</f>
        <v>0</v>
      </c>
    </row>
    <row r="33" spans="1:9" s="90" customFormat="1">
      <c r="A33" s="76" t="s">
        <v>429</v>
      </c>
      <c r="B33" s="98">
        <v>930</v>
      </c>
      <c r="C33" s="96" t="s">
        <v>215</v>
      </c>
      <c r="D33" s="96" t="s">
        <v>221</v>
      </c>
      <c r="E33" s="205" t="s">
        <v>534</v>
      </c>
      <c r="F33" s="96" t="s">
        <v>412</v>
      </c>
      <c r="G33" s="109">
        <v>702.16049999999996</v>
      </c>
      <c r="H33" s="109">
        <v>0</v>
      </c>
    </row>
    <row r="34" spans="1:9" s="90" customFormat="1" ht="47.25">
      <c r="A34" s="196" t="s">
        <v>430</v>
      </c>
      <c r="B34" s="98">
        <v>930</v>
      </c>
      <c r="C34" s="96" t="s">
        <v>215</v>
      </c>
      <c r="D34" s="96" t="s">
        <v>221</v>
      </c>
      <c r="E34" s="205" t="s">
        <v>534</v>
      </c>
      <c r="F34" s="96" t="s">
        <v>431</v>
      </c>
      <c r="G34" s="109">
        <v>212.05199999999999</v>
      </c>
      <c r="H34" s="395">
        <v>0</v>
      </c>
    </row>
    <row r="35" spans="1:9" s="92" customFormat="1" ht="31.5">
      <c r="A35" s="223" t="s">
        <v>243</v>
      </c>
      <c r="B35" s="345">
        <v>930</v>
      </c>
      <c r="C35" s="201" t="s">
        <v>215</v>
      </c>
      <c r="D35" s="201" t="s">
        <v>221</v>
      </c>
      <c r="E35" s="201" t="s">
        <v>535</v>
      </c>
      <c r="F35" s="201"/>
      <c r="G35" s="202">
        <f>G36+G37</f>
        <v>380.01800000000003</v>
      </c>
      <c r="H35" s="395">
        <v>0</v>
      </c>
    </row>
    <row r="36" spans="1:9" s="90" customFormat="1">
      <c r="A36" s="76" t="s">
        <v>429</v>
      </c>
      <c r="B36" s="98">
        <v>930</v>
      </c>
      <c r="C36" s="96" t="s">
        <v>215</v>
      </c>
      <c r="D36" s="96" t="s">
        <v>221</v>
      </c>
      <c r="E36" s="205" t="s">
        <v>535</v>
      </c>
      <c r="F36" s="96" t="s">
        <v>412</v>
      </c>
      <c r="G36" s="109">
        <v>291.8725</v>
      </c>
      <c r="H36" s="395">
        <v>0</v>
      </c>
    </row>
    <row r="37" spans="1:9" s="90" customFormat="1" ht="31.5">
      <c r="A37" s="76" t="s">
        <v>160</v>
      </c>
      <c r="B37" s="98">
        <v>930</v>
      </c>
      <c r="C37" s="96" t="s">
        <v>215</v>
      </c>
      <c r="D37" s="96" t="s">
        <v>221</v>
      </c>
      <c r="E37" s="205" t="s">
        <v>535</v>
      </c>
      <c r="F37" s="96" t="s">
        <v>431</v>
      </c>
      <c r="G37" s="109">
        <v>88.145499999999998</v>
      </c>
      <c r="H37" s="395">
        <v>0</v>
      </c>
    </row>
    <row r="38" spans="1:9" s="90" customFormat="1">
      <c r="A38" s="124" t="s">
        <v>198</v>
      </c>
      <c r="B38" s="99">
        <v>931</v>
      </c>
      <c r="C38" s="100"/>
      <c r="D38" s="100"/>
      <c r="E38" s="100"/>
      <c r="F38" s="100"/>
      <c r="G38" s="101">
        <f>G39+G55+G52</f>
        <v>36132.534860000007</v>
      </c>
      <c r="H38" s="101">
        <f>H39+H55</f>
        <v>3512.9540400000001</v>
      </c>
      <c r="I38" s="147">
        <f>G38-H38</f>
        <v>32619.580820000006</v>
      </c>
    </row>
    <row r="39" spans="1:9">
      <c r="A39" s="80" t="s">
        <v>229</v>
      </c>
      <c r="B39" s="102">
        <v>931</v>
      </c>
      <c r="C39" s="103" t="s">
        <v>215</v>
      </c>
      <c r="D39" s="103"/>
      <c r="E39" s="103"/>
      <c r="F39" s="103"/>
      <c r="G39" s="104">
        <f>G40</f>
        <v>8579.4709199999998</v>
      </c>
      <c r="H39" s="104">
        <f>H40</f>
        <v>0</v>
      </c>
    </row>
    <row r="40" spans="1:9" s="91" customFormat="1" ht="47.25">
      <c r="A40" s="79" t="s">
        <v>159</v>
      </c>
      <c r="B40" s="105">
        <v>931</v>
      </c>
      <c r="C40" s="106" t="s">
        <v>215</v>
      </c>
      <c r="D40" s="106" t="s">
        <v>221</v>
      </c>
      <c r="E40" s="106"/>
      <c r="F40" s="106"/>
      <c r="G40" s="107">
        <f>G48+G45+G41</f>
        <v>8579.4709199999998</v>
      </c>
      <c r="H40" s="107">
        <f>H48+H45+H41</f>
        <v>0</v>
      </c>
    </row>
    <row r="41" spans="1:9" s="91" customFormat="1" ht="60" customHeight="1">
      <c r="A41" s="174" t="s">
        <v>769</v>
      </c>
      <c r="B41" s="175">
        <v>931</v>
      </c>
      <c r="C41" s="176" t="s">
        <v>215</v>
      </c>
      <c r="D41" s="176" t="s">
        <v>221</v>
      </c>
      <c r="E41" s="176" t="s">
        <v>974</v>
      </c>
      <c r="F41" s="177"/>
      <c r="G41" s="178">
        <f>G42</f>
        <v>1215.8709200000001</v>
      </c>
      <c r="H41" s="178">
        <f>H42</f>
        <v>0</v>
      </c>
    </row>
    <row r="42" spans="1:9" s="91" customFormat="1" ht="32.25" customHeight="1">
      <c r="A42" s="223" t="s">
        <v>1007</v>
      </c>
      <c r="B42" s="346">
        <v>931</v>
      </c>
      <c r="C42" s="205" t="s">
        <v>215</v>
      </c>
      <c r="D42" s="205" t="s">
        <v>221</v>
      </c>
      <c r="E42" s="205" t="s">
        <v>978</v>
      </c>
      <c r="F42" s="702"/>
      <c r="G42" s="202">
        <f>G43+G44</f>
        <v>1215.8709200000001</v>
      </c>
      <c r="H42" s="202">
        <f>H43+H44</f>
        <v>0</v>
      </c>
    </row>
    <row r="43" spans="1:9" ht="31.5">
      <c r="A43" s="126" t="s">
        <v>418</v>
      </c>
      <c r="B43" s="98">
        <v>931</v>
      </c>
      <c r="C43" s="96" t="s">
        <v>215</v>
      </c>
      <c r="D43" s="96" t="s">
        <v>221</v>
      </c>
      <c r="E43" s="150" t="s">
        <v>979</v>
      </c>
      <c r="F43" s="110">
        <v>242</v>
      </c>
      <c r="G43" s="109">
        <v>738.34400000000005</v>
      </c>
      <c r="H43" s="109">
        <v>0</v>
      </c>
    </row>
    <row r="44" spans="1:9" ht="31.5">
      <c r="A44" s="153" t="s">
        <v>275</v>
      </c>
      <c r="B44" s="98">
        <v>931</v>
      </c>
      <c r="C44" s="96" t="s">
        <v>215</v>
      </c>
      <c r="D44" s="96" t="s">
        <v>221</v>
      </c>
      <c r="E44" s="150" t="s">
        <v>979</v>
      </c>
      <c r="F44" s="110">
        <v>244</v>
      </c>
      <c r="G44" s="109">
        <f>477.25+15-14.72308</f>
        <v>477.52692000000002</v>
      </c>
      <c r="H44" s="109">
        <v>0</v>
      </c>
    </row>
    <row r="45" spans="1:9" s="90" customFormat="1" ht="31.5">
      <c r="A45" s="77" t="s">
        <v>199</v>
      </c>
      <c r="B45" s="98">
        <v>931</v>
      </c>
      <c r="C45" s="95" t="s">
        <v>215</v>
      </c>
      <c r="D45" s="95" t="s">
        <v>221</v>
      </c>
      <c r="E45" s="95" t="s">
        <v>532</v>
      </c>
      <c r="F45" s="95"/>
      <c r="G45" s="108">
        <f>G46+G47</f>
        <v>3484.7999999999997</v>
      </c>
      <c r="H45" s="108">
        <f>H46+H47</f>
        <v>0</v>
      </c>
    </row>
    <row r="46" spans="1:9">
      <c r="A46" s="76" t="s">
        <v>429</v>
      </c>
      <c r="B46" s="98">
        <v>931</v>
      </c>
      <c r="C46" s="96" t="s">
        <v>215</v>
      </c>
      <c r="D46" s="96" t="s">
        <v>221</v>
      </c>
      <c r="E46" s="96" t="s">
        <v>532</v>
      </c>
      <c r="F46" s="96" t="s">
        <v>412</v>
      </c>
      <c r="G46" s="109">
        <v>2676.4976999999999</v>
      </c>
      <c r="H46" s="109">
        <f t="shared" ref="H46:H47" si="1">H47+H48</f>
        <v>0</v>
      </c>
    </row>
    <row r="47" spans="1:9" ht="47.25">
      <c r="A47" s="196" t="s">
        <v>430</v>
      </c>
      <c r="B47" s="98">
        <v>931</v>
      </c>
      <c r="C47" s="96" t="s">
        <v>215</v>
      </c>
      <c r="D47" s="96" t="s">
        <v>221</v>
      </c>
      <c r="E47" s="96" t="s">
        <v>532</v>
      </c>
      <c r="F47" s="96" t="s">
        <v>431</v>
      </c>
      <c r="G47" s="109">
        <v>808.30229999999995</v>
      </c>
      <c r="H47" s="109">
        <f t="shared" si="1"/>
        <v>0</v>
      </c>
    </row>
    <row r="48" spans="1:9" s="90" customFormat="1" ht="31.5">
      <c r="A48" s="77" t="s">
        <v>424</v>
      </c>
      <c r="B48" s="97">
        <v>931</v>
      </c>
      <c r="C48" s="95" t="s">
        <v>215</v>
      </c>
      <c r="D48" s="95" t="s">
        <v>221</v>
      </c>
      <c r="E48" s="95" t="s">
        <v>526</v>
      </c>
      <c r="F48" s="95"/>
      <c r="G48" s="108">
        <f>G49</f>
        <v>3878.8</v>
      </c>
      <c r="H48" s="109">
        <f>H49</f>
        <v>0</v>
      </c>
    </row>
    <row r="49" spans="1:8" s="91" customFormat="1" ht="31.5">
      <c r="A49" s="74" t="s">
        <v>394</v>
      </c>
      <c r="B49" s="97">
        <v>931</v>
      </c>
      <c r="C49" s="95" t="s">
        <v>215</v>
      </c>
      <c r="D49" s="95" t="s">
        <v>221</v>
      </c>
      <c r="E49" s="95" t="s">
        <v>528</v>
      </c>
      <c r="F49" s="95"/>
      <c r="G49" s="108">
        <f>G50+G51</f>
        <v>3878.8</v>
      </c>
      <c r="H49" s="108">
        <f>H50+H51</f>
        <v>0</v>
      </c>
    </row>
    <row r="50" spans="1:8">
      <c r="A50" s="76" t="s">
        <v>429</v>
      </c>
      <c r="B50" s="98">
        <v>931</v>
      </c>
      <c r="C50" s="96" t="s">
        <v>215</v>
      </c>
      <c r="D50" s="96" t="s">
        <v>221</v>
      </c>
      <c r="E50" s="96" t="s">
        <v>528</v>
      </c>
      <c r="F50" s="96" t="s">
        <v>412</v>
      </c>
      <c r="G50" s="109">
        <v>2979.1089999999999</v>
      </c>
      <c r="H50" s="109">
        <v>0</v>
      </c>
    </row>
    <row r="51" spans="1:8" ht="47.25">
      <c r="A51" s="196" t="s">
        <v>430</v>
      </c>
      <c r="B51" s="98">
        <v>931</v>
      </c>
      <c r="C51" s="96" t="s">
        <v>215</v>
      </c>
      <c r="D51" s="96" t="s">
        <v>221</v>
      </c>
      <c r="E51" s="96" t="s">
        <v>528</v>
      </c>
      <c r="F51" s="96" t="s">
        <v>431</v>
      </c>
      <c r="G51" s="109">
        <v>899.69100000000003</v>
      </c>
      <c r="H51" s="109">
        <v>0</v>
      </c>
    </row>
    <row r="52" spans="1:8">
      <c r="A52" s="339" t="s">
        <v>1176</v>
      </c>
      <c r="B52" s="340">
        <v>931</v>
      </c>
      <c r="C52" s="341" t="s">
        <v>241</v>
      </c>
      <c r="D52" s="341"/>
      <c r="E52" s="341"/>
      <c r="F52" s="96"/>
      <c r="G52" s="109">
        <f>G53</f>
        <v>14.72308</v>
      </c>
      <c r="H52" s="109"/>
    </row>
    <row r="53" spans="1:8" ht="31.5">
      <c r="A53" s="170" t="s">
        <v>1193</v>
      </c>
      <c r="B53" s="154">
        <v>931</v>
      </c>
      <c r="C53" s="150" t="s">
        <v>241</v>
      </c>
      <c r="D53" s="150" t="s">
        <v>215</v>
      </c>
      <c r="E53" s="341"/>
      <c r="F53" s="96"/>
      <c r="G53" s="109">
        <f>G54</f>
        <v>14.72308</v>
      </c>
      <c r="H53" s="109"/>
    </row>
    <row r="54" spans="1:8">
      <c r="A54" s="170" t="s">
        <v>1177</v>
      </c>
      <c r="B54" s="150" t="s">
        <v>200</v>
      </c>
      <c r="C54" s="150" t="s">
        <v>241</v>
      </c>
      <c r="D54" s="150" t="s">
        <v>215</v>
      </c>
      <c r="E54" s="150" t="s">
        <v>5</v>
      </c>
      <c r="F54" s="150" t="s">
        <v>1178</v>
      </c>
      <c r="G54" s="109">
        <v>14.72308</v>
      </c>
      <c r="H54" s="109"/>
    </row>
    <row r="55" spans="1:8" s="91" customFormat="1" ht="47.25">
      <c r="A55" s="80" t="s">
        <v>158</v>
      </c>
      <c r="B55" s="102">
        <v>931</v>
      </c>
      <c r="C55" s="103" t="s">
        <v>228</v>
      </c>
      <c r="D55" s="103"/>
      <c r="E55" s="103"/>
      <c r="F55" s="103"/>
      <c r="G55" s="104">
        <f>G56+G61</f>
        <v>27538.34086</v>
      </c>
      <c r="H55" s="104">
        <f>H56+H61</f>
        <v>3512.9540400000001</v>
      </c>
    </row>
    <row r="56" spans="1:8" s="91" customFormat="1" ht="31.5">
      <c r="A56" s="79" t="s">
        <v>584</v>
      </c>
      <c r="B56" s="105">
        <v>931</v>
      </c>
      <c r="C56" s="106" t="s">
        <v>228</v>
      </c>
      <c r="D56" s="106" t="s">
        <v>215</v>
      </c>
      <c r="E56" s="106"/>
      <c r="F56" s="106"/>
      <c r="G56" s="107">
        <f>G57</f>
        <v>88.5</v>
      </c>
      <c r="H56" s="107">
        <f>H57</f>
        <v>88.5</v>
      </c>
    </row>
    <row r="57" spans="1:8" s="91" customFormat="1" ht="31.5">
      <c r="A57" s="174" t="s">
        <v>769</v>
      </c>
      <c r="B57" s="183">
        <v>931</v>
      </c>
      <c r="C57" s="184" t="s">
        <v>228</v>
      </c>
      <c r="D57" s="184" t="s">
        <v>215</v>
      </c>
      <c r="E57" s="185" t="s">
        <v>975</v>
      </c>
      <c r="F57" s="184"/>
      <c r="G57" s="186">
        <f>G59</f>
        <v>88.5</v>
      </c>
      <c r="H57" s="186">
        <f>H59</f>
        <v>88.5</v>
      </c>
    </row>
    <row r="58" spans="1:8" s="91" customFormat="1" ht="31.5">
      <c r="A58" s="223" t="s">
        <v>1008</v>
      </c>
      <c r="B58" s="701">
        <v>931</v>
      </c>
      <c r="C58" s="349" t="s">
        <v>228</v>
      </c>
      <c r="D58" s="349" t="s">
        <v>215</v>
      </c>
      <c r="E58" s="205" t="s">
        <v>984</v>
      </c>
      <c r="F58" s="349"/>
      <c r="G58" s="224">
        <f>G59</f>
        <v>88.5</v>
      </c>
      <c r="H58" s="224">
        <f>H59</f>
        <v>88.5</v>
      </c>
    </row>
    <row r="59" spans="1:8" s="91" customFormat="1" ht="31.5">
      <c r="A59" s="223" t="s">
        <v>410</v>
      </c>
      <c r="B59" s="346">
        <v>931</v>
      </c>
      <c r="C59" s="205" t="s">
        <v>228</v>
      </c>
      <c r="D59" s="205" t="s">
        <v>215</v>
      </c>
      <c r="E59" s="205" t="s">
        <v>983</v>
      </c>
      <c r="F59" s="201"/>
      <c r="G59" s="202">
        <f>G60</f>
        <v>88.5</v>
      </c>
      <c r="H59" s="202">
        <f>H60</f>
        <v>88.5</v>
      </c>
    </row>
    <row r="60" spans="1:8" ht="31.5">
      <c r="A60" s="241" t="s">
        <v>583</v>
      </c>
      <c r="B60" s="98">
        <v>931</v>
      </c>
      <c r="C60" s="96" t="s">
        <v>228</v>
      </c>
      <c r="D60" s="96" t="s">
        <v>215</v>
      </c>
      <c r="E60" s="205" t="s">
        <v>983</v>
      </c>
      <c r="F60" s="96" t="s">
        <v>58</v>
      </c>
      <c r="G60" s="109">
        <v>88.5</v>
      </c>
      <c r="H60" s="109">
        <f>G60</f>
        <v>88.5</v>
      </c>
    </row>
    <row r="61" spans="1:8" s="91" customFormat="1">
      <c r="A61" s="79" t="s">
        <v>78</v>
      </c>
      <c r="B61" s="105">
        <v>931</v>
      </c>
      <c r="C61" s="106" t="s">
        <v>228</v>
      </c>
      <c r="D61" s="106" t="s">
        <v>218</v>
      </c>
      <c r="E61" s="106"/>
      <c r="F61" s="106"/>
      <c r="G61" s="107">
        <f>G62+G66+G68</f>
        <v>27449.84086</v>
      </c>
      <c r="H61" s="107">
        <f>H62+H66+H68</f>
        <v>3424.4540400000001</v>
      </c>
    </row>
    <row r="62" spans="1:8" s="90" customFormat="1" ht="31.5">
      <c r="A62" s="174" t="s">
        <v>769</v>
      </c>
      <c r="B62" s="183">
        <v>931</v>
      </c>
      <c r="C62" s="184" t="s">
        <v>228</v>
      </c>
      <c r="D62" s="184" t="s">
        <v>218</v>
      </c>
      <c r="E62" s="185" t="s">
        <v>975</v>
      </c>
      <c r="F62" s="176"/>
      <c r="G62" s="178">
        <f t="shared" ref="G62:H64" si="2">G63</f>
        <v>23955.5</v>
      </c>
      <c r="H62" s="178">
        <f t="shared" si="2"/>
        <v>0</v>
      </c>
    </row>
    <row r="63" spans="1:8" s="90" customFormat="1" ht="31.5">
      <c r="A63" s="223" t="s">
        <v>1008</v>
      </c>
      <c r="B63" s="701">
        <v>931</v>
      </c>
      <c r="C63" s="349" t="s">
        <v>228</v>
      </c>
      <c r="D63" s="349" t="s">
        <v>218</v>
      </c>
      <c r="E63" s="205" t="s">
        <v>980</v>
      </c>
      <c r="F63" s="201"/>
      <c r="G63" s="202">
        <f t="shared" si="2"/>
        <v>23955.5</v>
      </c>
      <c r="H63" s="202">
        <f t="shared" si="2"/>
        <v>0</v>
      </c>
    </row>
    <row r="64" spans="1:8" s="90" customFormat="1" ht="47.25" customHeight="1">
      <c r="A64" s="223" t="s">
        <v>976</v>
      </c>
      <c r="B64" s="346">
        <v>931</v>
      </c>
      <c r="C64" s="205" t="s">
        <v>228</v>
      </c>
      <c r="D64" s="205" t="s">
        <v>218</v>
      </c>
      <c r="E64" s="205" t="s">
        <v>980</v>
      </c>
      <c r="F64" s="201"/>
      <c r="G64" s="202">
        <f t="shared" si="2"/>
        <v>23955.5</v>
      </c>
      <c r="H64" s="202">
        <f t="shared" si="2"/>
        <v>0</v>
      </c>
    </row>
    <row r="65" spans="1:9">
      <c r="A65" s="76" t="s">
        <v>411</v>
      </c>
      <c r="B65" s="98">
        <v>931</v>
      </c>
      <c r="C65" s="96" t="s">
        <v>228</v>
      </c>
      <c r="D65" s="96" t="s">
        <v>218</v>
      </c>
      <c r="E65" s="205" t="s">
        <v>980</v>
      </c>
      <c r="F65" s="96" t="s">
        <v>422</v>
      </c>
      <c r="G65" s="109">
        <v>23955.5</v>
      </c>
      <c r="H65" s="109">
        <v>0</v>
      </c>
    </row>
    <row r="66" spans="1:9" ht="85.5" customHeight="1">
      <c r="A66" s="74" t="s">
        <v>918</v>
      </c>
      <c r="B66" s="150" t="s">
        <v>200</v>
      </c>
      <c r="C66" s="95" t="s">
        <v>228</v>
      </c>
      <c r="D66" s="95" t="s">
        <v>218</v>
      </c>
      <c r="E66" s="96" t="s">
        <v>1165</v>
      </c>
      <c r="F66" s="96"/>
      <c r="G66" s="109">
        <f>G67</f>
        <v>3424.4540400000001</v>
      </c>
      <c r="H66" s="109">
        <f>H67</f>
        <v>3424.4540400000001</v>
      </c>
    </row>
    <row r="67" spans="1:9">
      <c r="A67" s="76" t="s">
        <v>411</v>
      </c>
      <c r="B67" s="98">
        <v>931</v>
      </c>
      <c r="C67" s="96" t="s">
        <v>228</v>
      </c>
      <c r="D67" s="96" t="s">
        <v>218</v>
      </c>
      <c r="E67" s="96" t="s">
        <v>1165</v>
      </c>
      <c r="F67" s="96" t="s">
        <v>422</v>
      </c>
      <c r="G67" s="109">
        <f>3218.15061+206.30343</f>
        <v>3424.4540400000001</v>
      </c>
      <c r="H67" s="109">
        <f>G67</f>
        <v>3424.4540400000001</v>
      </c>
    </row>
    <row r="68" spans="1:9" ht="78.75">
      <c r="A68" s="74" t="s">
        <v>919</v>
      </c>
      <c r="B68" s="150" t="s">
        <v>200</v>
      </c>
      <c r="C68" s="95" t="s">
        <v>228</v>
      </c>
      <c r="D68" s="95" t="s">
        <v>218</v>
      </c>
      <c r="E68" s="96" t="s">
        <v>1165</v>
      </c>
      <c r="F68" s="96"/>
      <c r="G68" s="109">
        <f>G69</f>
        <v>69.88682</v>
      </c>
      <c r="H68" s="109"/>
    </row>
    <row r="69" spans="1:9">
      <c r="A69" s="76" t="s">
        <v>411</v>
      </c>
      <c r="B69" s="98">
        <v>931</v>
      </c>
      <c r="C69" s="96" t="s">
        <v>228</v>
      </c>
      <c r="D69" s="96" t="s">
        <v>218</v>
      </c>
      <c r="E69" s="96" t="s">
        <v>1165</v>
      </c>
      <c r="F69" s="96" t="s">
        <v>422</v>
      </c>
      <c r="G69" s="109">
        <f>65.67654+4.21028</f>
        <v>69.88682</v>
      </c>
      <c r="H69" s="109"/>
    </row>
    <row r="70" spans="1:9" s="90" customFormat="1">
      <c r="A70" s="124" t="s">
        <v>201</v>
      </c>
      <c r="B70" s="99">
        <v>934</v>
      </c>
      <c r="C70" s="100"/>
      <c r="D70" s="100"/>
      <c r="E70" s="100"/>
      <c r="F70" s="100"/>
      <c r="G70" s="101">
        <f>G71+G123+G130+G170+G175+G189+G206+G240+G261+G267</f>
        <v>168526.37995</v>
      </c>
      <c r="H70" s="101">
        <f>H71+H123+H130+H170+H175+H189+H206+H240+H261+H267</f>
        <v>63298.8</v>
      </c>
      <c r="I70" s="147">
        <f>G70-H70</f>
        <v>105227.57995</v>
      </c>
    </row>
    <row r="71" spans="1:9" s="92" customFormat="1" ht="20.25" customHeight="1">
      <c r="A71" s="80" t="s">
        <v>229</v>
      </c>
      <c r="B71" s="102">
        <v>934</v>
      </c>
      <c r="C71" s="103" t="s">
        <v>215</v>
      </c>
      <c r="D71" s="103"/>
      <c r="E71" s="103"/>
      <c r="F71" s="103"/>
      <c r="G71" s="104">
        <f>G72+G77+G94+G97+G91</f>
        <v>59085.35428</v>
      </c>
      <c r="H71" s="104">
        <f>H72+H77+H94+H97+H91</f>
        <v>10029.4</v>
      </c>
    </row>
    <row r="72" spans="1:9" s="91" customFormat="1" ht="31.5">
      <c r="A72" s="79" t="s">
        <v>392</v>
      </c>
      <c r="B72" s="105">
        <v>934</v>
      </c>
      <c r="C72" s="106" t="s">
        <v>215</v>
      </c>
      <c r="D72" s="106" t="s">
        <v>216</v>
      </c>
      <c r="E72" s="106"/>
      <c r="F72" s="106"/>
      <c r="G72" s="107">
        <f>G73</f>
        <v>2091.87</v>
      </c>
      <c r="H72" s="107">
        <f t="shared" ref="G72:H73" si="3">H73</f>
        <v>0</v>
      </c>
    </row>
    <row r="73" spans="1:9" s="90" customFormat="1" ht="31.5">
      <c r="A73" s="77" t="s">
        <v>424</v>
      </c>
      <c r="B73" s="97">
        <v>934</v>
      </c>
      <c r="C73" s="95" t="s">
        <v>215</v>
      </c>
      <c r="D73" s="95" t="s">
        <v>216</v>
      </c>
      <c r="E73" s="95" t="s">
        <v>526</v>
      </c>
      <c r="F73" s="95"/>
      <c r="G73" s="108">
        <f t="shared" si="3"/>
        <v>2091.87</v>
      </c>
      <c r="H73" s="108">
        <f t="shared" si="3"/>
        <v>0</v>
      </c>
    </row>
    <row r="74" spans="1:9" s="91" customFormat="1" ht="31.5">
      <c r="A74" s="74" t="s">
        <v>385</v>
      </c>
      <c r="B74" s="97">
        <v>934</v>
      </c>
      <c r="C74" s="95" t="s">
        <v>215</v>
      </c>
      <c r="D74" s="95" t="s">
        <v>216</v>
      </c>
      <c r="E74" s="95" t="s">
        <v>527</v>
      </c>
      <c r="F74" s="95"/>
      <c r="G74" s="108">
        <f>G75+G76</f>
        <v>2091.87</v>
      </c>
      <c r="H74" s="108">
        <f>H75+H76</f>
        <v>0</v>
      </c>
    </row>
    <row r="75" spans="1:9">
      <c r="A75" s="76" t="s">
        <v>429</v>
      </c>
      <c r="B75" s="98">
        <v>934</v>
      </c>
      <c r="C75" s="96" t="s">
        <v>215</v>
      </c>
      <c r="D75" s="96" t="s">
        <v>216</v>
      </c>
      <c r="E75" s="96" t="s">
        <v>527</v>
      </c>
      <c r="F75" s="96" t="s">
        <v>412</v>
      </c>
      <c r="G75" s="109">
        <v>1606.6589799999999</v>
      </c>
      <c r="H75" s="109">
        <v>0</v>
      </c>
    </row>
    <row r="76" spans="1:9" ht="47.25">
      <c r="A76" s="196" t="s">
        <v>430</v>
      </c>
      <c r="B76" s="98">
        <v>934</v>
      </c>
      <c r="C76" s="96" t="s">
        <v>215</v>
      </c>
      <c r="D76" s="96" t="s">
        <v>216</v>
      </c>
      <c r="E76" s="96" t="s">
        <v>527</v>
      </c>
      <c r="F76" s="96" t="s">
        <v>431</v>
      </c>
      <c r="G76" s="109">
        <v>485.21102000000002</v>
      </c>
      <c r="H76" s="109">
        <v>0</v>
      </c>
    </row>
    <row r="77" spans="1:9" s="91" customFormat="1" ht="47.25">
      <c r="A77" s="79" t="s">
        <v>274</v>
      </c>
      <c r="B77" s="105">
        <v>934</v>
      </c>
      <c r="C77" s="106" t="s">
        <v>215</v>
      </c>
      <c r="D77" s="106" t="s">
        <v>224</v>
      </c>
      <c r="E77" s="106"/>
      <c r="F77" s="106"/>
      <c r="G77" s="107">
        <f>G78+G82</f>
        <v>11956.226279999999</v>
      </c>
      <c r="H77" s="107">
        <f>H78+H82</f>
        <v>0</v>
      </c>
    </row>
    <row r="78" spans="1:9" s="91" customFormat="1" ht="47.25">
      <c r="A78" s="174" t="s">
        <v>895</v>
      </c>
      <c r="B78" s="175">
        <v>934</v>
      </c>
      <c r="C78" s="176" t="s">
        <v>215</v>
      </c>
      <c r="D78" s="176" t="s">
        <v>224</v>
      </c>
      <c r="E78" s="176" t="s">
        <v>566</v>
      </c>
      <c r="F78" s="176"/>
      <c r="G78" s="178">
        <f>G79</f>
        <v>245</v>
      </c>
      <c r="H78" s="178">
        <f>H79</f>
        <v>0</v>
      </c>
    </row>
    <row r="79" spans="1:9" s="91" customFormat="1" ht="31.5">
      <c r="A79" s="189" t="s">
        <v>1117</v>
      </c>
      <c r="B79" s="190">
        <v>934</v>
      </c>
      <c r="C79" s="187" t="s">
        <v>215</v>
      </c>
      <c r="D79" s="187" t="s">
        <v>224</v>
      </c>
      <c r="E79" s="720" t="s">
        <v>531</v>
      </c>
      <c r="F79" s="181"/>
      <c r="G79" s="182">
        <f>G80</f>
        <v>245</v>
      </c>
      <c r="H79" s="182">
        <v>0</v>
      </c>
    </row>
    <row r="80" spans="1:9" s="91" customFormat="1" ht="39.75" customHeight="1">
      <c r="A80" s="223" t="s">
        <v>1118</v>
      </c>
      <c r="B80" s="175">
        <v>934</v>
      </c>
      <c r="C80" s="176" t="s">
        <v>215</v>
      </c>
      <c r="D80" s="176" t="s">
        <v>224</v>
      </c>
      <c r="E80" s="185" t="s">
        <v>531</v>
      </c>
      <c r="F80" s="176"/>
      <c r="G80" s="178">
        <f>G81</f>
        <v>245</v>
      </c>
      <c r="H80" s="178"/>
    </row>
    <row r="81" spans="1:9" ht="31.5">
      <c r="A81" s="153" t="s">
        <v>275</v>
      </c>
      <c r="B81" s="98">
        <v>934</v>
      </c>
      <c r="C81" s="96" t="s">
        <v>215</v>
      </c>
      <c r="D81" s="96" t="s">
        <v>224</v>
      </c>
      <c r="E81" s="96" t="s">
        <v>531</v>
      </c>
      <c r="F81" s="110">
        <v>244</v>
      </c>
      <c r="G81" s="109">
        <f>125+120</f>
        <v>245</v>
      </c>
      <c r="H81" s="109">
        <v>0</v>
      </c>
    </row>
    <row r="82" spans="1:9">
      <c r="A82" s="126" t="s">
        <v>118</v>
      </c>
      <c r="B82" s="98">
        <v>934</v>
      </c>
      <c r="C82" s="96" t="s">
        <v>215</v>
      </c>
      <c r="D82" s="96" t="s">
        <v>224</v>
      </c>
      <c r="E82" s="96" t="s">
        <v>3</v>
      </c>
      <c r="F82" s="110"/>
      <c r="G82" s="109">
        <f>G83+G87</f>
        <v>11711.226279999999</v>
      </c>
      <c r="H82" s="109">
        <f>H84+H87</f>
        <v>0</v>
      </c>
    </row>
    <row r="83" spans="1:9" s="90" customFormat="1" ht="31.5">
      <c r="A83" s="77" t="s">
        <v>424</v>
      </c>
      <c r="B83" s="97">
        <v>934</v>
      </c>
      <c r="C83" s="95" t="s">
        <v>215</v>
      </c>
      <c r="D83" s="95" t="s">
        <v>224</v>
      </c>
      <c r="E83" s="95" t="s">
        <v>526</v>
      </c>
      <c r="F83" s="95"/>
      <c r="G83" s="108">
        <f t="shared" ref="G83:H83" si="4">G84</f>
        <v>9549.2199999999993</v>
      </c>
      <c r="H83" s="108">
        <f t="shared" si="4"/>
        <v>0</v>
      </c>
    </row>
    <row r="84" spans="1:9" s="91" customFormat="1" ht="31.5">
      <c r="A84" s="74" t="s">
        <v>394</v>
      </c>
      <c r="B84" s="97">
        <v>934</v>
      </c>
      <c r="C84" s="95" t="s">
        <v>215</v>
      </c>
      <c r="D84" s="95" t="s">
        <v>224</v>
      </c>
      <c r="E84" s="95" t="s">
        <v>528</v>
      </c>
      <c r="F84" s="95"/>
      <c r="G84" s="108">
        <f>G85+G86</f>
        <v>9549.2199999999993</v>
      </c>
      <c r="H84" s="108">
        <f>H85+H86</f>
        <v>0</v>
      </c>
    </row>
    <row r="85" spans="1:9">
      <c r="A85" s="76" t="s">
        <v>429</v>
      </c>
      <c r="B85" s="98">
        <v>934</v>
      </c>
      <c r="C85" s="96" t="s">
        <v>215</v>
      </c>
      <c r="D85" s="96" t="s">
        <v>224</v>
      </c>
      <c r="E85" s="96" t="s">
        <v>528</v>
      </c>
      <c r="F85" s="96" t="s">
        <v>412</v>
      </c>
      <c r="G85" s="109">
        <v>7334.2703499999998</v>
      </c>
      <c r="H85" s="109">
        <v>0</v>
      </c>
    </row>
    <row r="86" spans="1:9" ht="47.25">
      <c r="A86" s="196" t="s">
        <v>430</v>
      </c>
      <c r="B86" s="98">
        <v>934</v>
      </c>
      <c r="C86" s="96" t="s">
        <v>215</v>
      </c>
      <c r="D86" s="96" t="s">
        <v>224</v>
      </c>
      <c r="E86" s="96" t="s">
        <v>528</v>
      </c>
      <c r="F86" s="96" t="s">
        <v>431</v>
      </c>
      <c r="G86" s="109">
        <v>2214.94965</v>
      </c>
      <c r="H86" s="109">
        <v>0</v>
      </c>
    </row>
    <row r="87" spans="1:9" ht="24.75" customHeight="1">
      <c r="A87" s="77" t="s">
        <v>161</v>
      </c>
      <c r="B87" s="98">
        <v>934</v>
      </c>
      <c r="C87" s="96" t="s">
        <v>215</v>
      </c>
      <c r="D87" s="96" t="s">
        <v>224</v>
      </c>
      <c r="E87" s="96" t="s">
        <v>530</v>
      </c>
      <c r="F87" s="96"/>
      <c r="G87" s="109">
        <f>G88</f>
        <v>2162.0062800000001</v>
      </c>
      <c r="H87" s="109">
        <f>H88</f>
        <v>0</v>
      </c>
    </row>
    <row r="88" spans="1:9" ht="35.25" customHeight="1">
      <c r="A88" s="76" t="s">
        <v>393</v>
      </c>
      <c r="B88" s="98">
        <v>934</v>
      </c>
      <c r="C88" s="96" t="s">
        <v>215</v>
      </c>
      <c r="D88" s="96" t="s">
        <v>224</v>
      </c>
      <c r="E88" s="96" t="s">
        <v>5</v>
      </c>
      <c r="F88" s="96"/>
      <c r="G88" s="109">
        <f>G89+G90</f>
        <v>2162.0062800000001</v>
      </c>
      <c r="H88" s="109">
        <f>H89</f>
        <v>0</v>
      </c>
      <c r="I88" s="85" t="e">
        <f>G88+#REF!</f>
        <v>#REF!</v>
      </c>
    </row>
    <row r="89" spans="1:9" ht="31.5">
      <c r="A89" s="153" t="s">
        <v>275</v>
      </c>
      <c r="B89" s="98">
        <v>934</v>
      </c>
      <c r="C89" s="96" t="s">
        <v>215</v>
      </c>
      <c r="D89" s="96" t="s">
        <v>224</v>
      </c>
      <c r="E89" s="96" t="s">
        <v>5</v>
      </c>
      <c r="F89" s="96" t="s">
        <v>413</v>
      </c>
      <c r="G89" s="109">
        <f>300+109.61+945.92-109.61-945.92+57+107.38428+100+348.3-0.028</f>
        <v>912.65628000000015</v>
      </c>
      <c r="H89" s="109">
        <v>0</v>
      </c>
    </row>
    <row r="90" spans="1:9">
      <c r="A90" s="76" t="s">
        <v>415</v>
      </c>
      <c r="B90" s="98">
        <v>934</v>
      </c>
      <c r="C90" s="96" t="s">
        <v>215</v>
      </c>
      <c r="D90" s="96" t="s">
        <v>224</v>
      </c>
      <c r="E90" s="150" t="s">
        <v>4</v>
      </c>
      <c r="F90" s="433">
        <v>851</v>
      </c>
      <c r="G90" s="149">
        <v>1249.3499999999999</v>
      </c>
      <c r="H90" s="149">
        <v>0</v>
      </c>
    </row>
    <row r="91" spans="1:9" s="90" customFormat="1">
      <c r="A91" s="80" t="s">
        <v>150</v>
      </c>
      <c r="B91" s="102">
        <v>934</v>
      </c>
      <c r="C91" s="103" t="s">
        <v>215</v>
      </c>
      <c r="D91" s="103" t="s">
        <v>225</v>
      </c>
      <c r="E91" s="341"/>
      <c r="F91" s="526"/>
      <c r="G91" s="123">
        <f t="shared" ref="G91:H91" si="5">G92</f>
        <v>18.5</v>
      </c>
      <c r="H91" s="123">
        <f t="shared" si="5"/>
        <v>18.5</v>
      </c>
    </row>
    <row r="92" spans="1:9" ht="47.25">
      <c r="A92" s="76" t="s">
        <v>653</v>
      </c>
      <c r="B92" s="98">
        <v>934</v>
      </c>
      <c r="C92" s="96" t="s">
        <v>215</v>
      </c>
      <c r="D92" s="96" t="s">
        <v>225</v>
      </c>
      <c r="E92" s="150" t="s">
        <v>582</v>
      </c>
      <c r="F92" s="433"/>
      <c r="G92" s="149">
        <f>G93</f>
        <v>18.5</v>
      </c>
      <c r="H92" s="149">
        <f>H93</f>
        <v>18.5</v>
      </c>
    </row>
    <row r="93" spans="1:9" ht="31.5">
      <c r="A93" s="153" t="s">
        <v>275</v>
      </c>
      <c r="B93" s="98">
        <v>934</v>
      </c>
      <c r="C93" s="96" t="s">
        <v>215</v>
      </c>
      <c r="D93" s="96" t="s">
        <v>225</v>
      </c>
      <c r="E93" s="150" t="s">
        <v>582</v>
      </c>
      <c r="F93" s="433">
        <v>244</v>
      </c>
      <c r="G93" s="149">
        <f>19.7-1.2</f>
        <v>18.5</v>
      </c>
      <c r="H93" s="149">
        <f>G93</f>
        <v>18.5</v>
      </c>
    </row>
    <row r="94" spans="1:9" s="91" customFormat="1">
      <c r="A94" s="79" t="s">
        <v>233</v>
      </c>
      <c r="B94" s="105">
        <v>934</v>
      </c>
      <c r="C94" s="106" t="s">
        <v>215</v>
      </c>
      <c r="D94" s="106" t="s">
        <v>223</v>
      </c>
      <c r="E94" s="106"/>
      <c r="F94" s="106"/>
      <c r="G94" s="107">
        <f>G95</f>
        <v>500</v>
      </c>
      <c r="H94" s="107">
        <f>H95</f>
        <v>0</v>
      </c>
    </row>
    <row r="95" spans="1:9" s="91" customFormat="1">
      <c r="A95" s="77" t="s">
        <v>202</v>
      </c>
      <c r="B95" s="97">
        <v>934</v>
      </c>
      <c r="C95" s="95" t="s">
        <v>215</v>
      </c>
      <c r="D95" s="95" t="s">
        <v>223</v>
      </c>
      <c r="E95" s="96" t="s">
        <v>536</v>
      </c>
      <c r="F95" s="95"/>
      <c r="G95" s="108">
        <f>G96</f>
        <v>500</v>
      </c>
      <c r="H95" s="108">
        <f>H96</f>
        <v>0</v>
      </c>
    </row>
    <row r="96" spans="1:9">
      <c r="A96" s="76" t="s">
        <v>42</v>
      </c>
      <c r="B96" s="98">
        <v>934</v>
      </c>
      <c r="C96" s="96" t="s">
        <v>215</v>
      </c>
      <c r="D96" s="96" t="s">
        <v>223</v>
      </c>
      <c r="E96" s="96" t="s">
        <v>536</v>
      </c>
      <c r="F96" s="96" t="s">
        <v>416</v>
      </c>
      <c r="G96" s="109">
        <v>500</v>
      </c>
      <c r="H96" s="109">
        <v>0</v>
      </c>
    </row>
    <row r="97" spans="1:12" s="92" customFormat="1">
      <c r="A97" s="79" t="s">
        <v>230</v>
      </c>
      <c r="B97" s="105">
        <v>934</v>
      </c>
      <c r="C97" s="106" t="s">
        <v>215</v>
      </c>
      <c r="D97" s="106" t="s">
        <v>241</v>
      </c>
      <c r="E97" s="106"/>
      <c r="F97" s="106"/>
      <c r="G97" s="107">
        <f>G98+G110+G114+G119</f>
        <v>44518.758000000002</v>
      </c>
      <c r="H97" s="107">
        <f>H98+H110+H114+H119</f>
        <v>10010.9</v>
      </c>
    </row>
    <row r="98" spans="1:12" s="92" customFormat="1" ht="47.25">
      <c r="A98" s="691" t="s">
        <v>895</v>
      </c>
      <c r="B98" s="192">
        <v>934</v>
      </c>
      <c r="C98" s="176" t="s">
        <v>215</v>
      </c>
      <c r="D98" s="176" t="s">
        <v>241</v>
      </c>
      <c r="E98" s="690" t="s">
        <v>566</v>
      </c>
      <c r="F98" s="184"/>
      <c r="G98" s="186">
        <f>G105+G99</f>
        <v>43164.858</v>
      </c>
      <c r="H98" s="186">
        <f>H105+H99</f>
        <v>8657</v>
      </c>
    </row>
    <row r="99" spans="1:12" s="92" customFormat="1" ht="31.5">
      <c r="A99" s="179" t="s">
        <v>896</v>
      </c>
      <c r="B99" s="181" t="s">
        <v>203</v>
      </c>
      <c r="C99" s="181" t="s">
        <v>215</v>
      </c>
      <c r="D99" s="181" t="s">
        <v>241</v>
      </c>
      <c r="E99" s="181" t="s">
        <v>977</v>
      </c>
      <c r="F99" s="181"/>
      <c r="G99" s="182">
        <f>G101+G103</f>
        <v>314</v>
      </c>
      <c r="H99" s="182">
        <f>H101+H103</f>
        <v>157</v>
      </c>
    </row>
    <row r="100" spans="1:12" s="92" customFormat="1" ht="31.5">
      <c r="A100" s="179" t="s">
        <v>1009</v>
      </c>
      <c r="B100" s="181" t="s">
        <v>203</v>
      </c>
      <c r="C100" s="181" t="s">
        <v>215</v>
      </c>
      <c r="D100" s="181" t="s">
        <v>241</v>
      </c>
      <c r="E100" s="181" t="s">
        <v>981</v>
      </c>
      <c r="F100" s="181"/>
      <c r="G100" s="182">
        <f>G101+G103</f>
        <v>314</v>
      </c>
      <c r="H100" s="182">
        <f>H101+H103</f>
        <v>157</v>
      </c>
    </row>
    <row r="101" spans="1:12" s="92" customFormat="1" ht="47.25">
      <c r="A101" s="431" t="s">
        <v>925</v>
      </c>
      <c r="B101" s="95" t="s">
        <v>203</v>
      </c>
      <c r="C101" s="95" t="s">
        <v>215</v>
      </c>
      <c r="D101" s="95" t="s">
        <v>241</v>
      </c>
      <c r="E101" s="150" t="s">
        <v>982</v>
      </c>
      <c r="F101" s="159"/>
      <c r="G101" s="122">
        <f>G102</f>
        <v>157</v>
      </c>
      <c r="H101" s="122">
        <f>H102</f>
        <v>157</v>
      </c>
    </row>
    <row r="102" spans="1:12" s="92" customFormat="1" ht="31.5">
      <c r="A102" s="153" t="s">
        <v>275</v>
      </c>
      <c r="B102" s="96" t="s">
        <v>203</v>
      </c>
      <c r="C102" s="96" t="s">
        <v>215</v>
      </c>
      <c r="D102" s="96" t="s">
        <v>241</v>
      </c>
      <c r="E102" s="150" t="s">
        <v>982</v>
      </c>
      <c r="F102" s="96" t="s">
        <v>413</v>
      </c>
      <c r="G102" s="109">
        <f>64.1+92.9</f>
        <v>157</v>
      </c>
      <c r="H102" s="109">
        <f>G102</f>
        <v>157</v>
      </c>
    </row>
    <row r="103" spans="1:12" s="92" customFormat="1" ht="47.25">
      <c r="A103" s="431" t="s">
        <v>738</v>
      </c>
      <c r="B103" s="159" t="s">
        <v>203</v>
      </c>
      <c r="C103" s="159" t="s">
        <v>215</v>
      </c>
      <c r="D103" s="159" t="s">
        <v>241</v>
      </c>
      <c r="E103" s="150" t="s">
        <v>982</v>
      </c>
      <c r="F103" s="159"/>
      <c r="G103" s="122">
        <f>G104</f>
        <v>157</v>
      </c>
      <c r="H103" s="122">
        <f>H104</f>
        <v>0</v>
      </c>
    </row>
    <row r="104" spans="1:12" s="92" customFormat="1" ht="31.5">
      <c r="A104" s="153" t="s">
        <v>275</v>
      </c>
      <c r="B104" s="96" t="s">
        <v>203</v>
      </c>
      <c r="C104" s="96" t="s">
        <v>215</v>
      </c>
      <c r="D104" s="96" t="s">
        <v>241</v>
      </c>
      <c r="E104" s="150" t="s">
        <v>982</v>
      </c>
      <c r="F104" s="96" t="s">
        <v>413</v>
      </c>
      <c r="G104" s="109">
        <f>64.1+92.9</f>
        <v>157</v>
      </c>
      <c r="H104" s="109">
        <v>0</v>
      </c>
    </row>
    <row r="105" spans="1:12" s="92" customFormat="1" ht="31.5">
      <c r="A105" s="189" t="s">
        <v>1117</v>
      </c>
      <c r="B105" s="190">
        <v>934</v>
      </c>
      <c r="C105" s="181" t="s">
        <v>215</v>
      </c>
      <c r="D105" s="181" t="s">
        <v>241</v>
      </c>
      <c r="E105" s="187" t="s">
        <v>531</v>
      </c>
      <c r="F105" s="181"/>
      <c r="G105" s="182">
        <f>G106+G108</f>
        <v>42850.858</v>
      </c>
      <c r="H105" s="182">
        <f>H106+H108</f>
        <v>8500</v>
      </c>
    </row>
    <row r="106" spans="1:12" s="92" customFormat="1" ht="31.5">
      <c r="A106" s="223" t="s">
        <v>1118</v>
      </c>
      <c r="B106" s="345">
        <v>934</v>
      </c>
      <c r="C106" s="201" t="s">
        <v>215</v>
      </c>
      <c r="D106" s="201" t="s">
        <v>241</v>
      </c>
      <c r="E106" s="205" t="s">
        <v>531</v>
      </c>
      <c r="F106" s="201"/>
      <c r="G106" s="202">
        <f>G107</f>
        <v>34350.858</v>
      </c>
      <c r="H106" s="200">
        <f>H107</f>
        <v>0</v>
      </c>
    </row>
    <row r="107" spans="1:12" s="92" customFormat="1" ht="47.25">
      <c r="A107" s="76" t="s">
        <v>270</v>
      </c>
      <c r="B107" s="154">
        <v>934</v>
      </c>
      <c r="C107" s="96" t="s">
        <v>215</v>
      </c>
      <c r="D107" s="96" t="s">
        <v>241</v>
      </c>
      <c r="E107" s="205" t="s">
        <v>531</v>
      </c>
      <c r="F107" s="96" t="s">
        <v>420</v>
      </c>
      <c r="G107" s="109">
        <f>32996.328+945.92+109.61+59+240</f>
        <v>34350.858</v>
      </c>
      <c r="H107" s="109">
        <v>0</v>
      </c>
    </row>
    <row r="108" spans="1:12" s="92" customFormat="1" ht="63">
      <c r="A108" s="74" t="s">
        <v>918</v>
      </c>
      <c r="B108" s="154">
        <v>934</v>
      </c>
      <c r="C108" s="96" t="s">
        <v>215</v>
      </c>
      <c r="D108" s="96" t="s">
        <v>241</v>
      </c>
      <c r="E108" s="205" t="s">
        <v>1171</v>
      </c>
      <c r="F108" s="96"/>
      <c r="G108" s="109">
        <f>G109</f>
        <v>8500</v>
      </c>
      <c r="H108" s="109">
        <f>H109</f>
        <v>8500</v>
      </c>
      <c r="J108" s="214">
        <f>G66+G108+G302+G321+G373+G382+G423</f>
        <v>46152</v>
      </c>
      <c r="K108" s="92">
        <v>42076.6</v>
      </c>
      <c r="L108" s="214">
        <f>K108-J108</f>
        <v>-4075.4000000000015</v>
      </c>
    </row>
    <row r="109" spans="1:12" s="92" customFormat="1">
      <c r="A109" s="76" t="s">
        <v>350</v>
      </c>
      <c r="B109" s="154">
        <v>934</v>
      </c>
      <c r="C109" s="96" t="s">
        <v>215</v>
      </c>
      <c r="D109" s="96" t="s">
        <v>241</v>
      </c>
      <c r="E109" s="205" t="s">
        <v>1171</v>
      </c>
      <c r="F109" s="96" t="s">
        <v>351</v>
      </c>
      <c r="G109" s="109">
        <v>8500</v>
      </c>
      <c r="H109" s="109">
        <f>G109</f>
        <v>8500</v>
      </c>
      <c r="J109" s="214">
        <f>G68+G323+G426</f>
        <v>858.7</v>
      </c>
      <c r="L109" s="92">
        <v>5363.1639100000002</v>
      </c>
    </row>
    <row r="110" spans="1:12" s="157" customFormat="1" ht="38.25" customHeight="1">
      <c r="A110" s="77" t="s">
        <v>436</v>
      </c>
      <c r="B110" s="95">
        <v>934</v>
      </c>
      <c r="C110" s="95" t="s">
        <v>215</v>
      </c>
      <c r="D110" s="95" t="s">
        <v>241</v>
      </c>
      <c r="E110" s="96" t="s">
        <v>432</v>
      </c>
      <c r="F110" s="95"/>
      <c r="G110" s="108">
        <f>G111+G112+G113</f>
        <v>179.9</v>
      </c>
      <c r="H110" s="108">
        <f>H111+H112+H113</f>
        <v>179.9</v>
      </c>
    </row>
    <row r="111" spans="1:12">
      <c r="A111" s="76" t="s">
        <v>429</v>
      </c>
      <c r="B111" s="96">
        <v>934</v>
      </c>
      <c r="C111" s="96" t="s">
        <v>215</v>
      </c>
      <c r="D111" s="96" t="s">
        <v>241</v>
      </c>
      <c r="E111" s="96" t="s">
        <v>432</v>
      </c>
      <c r="F111" s="96" t="s">
        <v>412</v>
      </c>
      <c r="G111" s="109">
        <f>106.98924+3.22581</f>
        <v>110.21504999999999</v>
      </c>
      <c r="H111" s="109">
        <f>G111</f>
        <v>110.21504999999999</v>
      </c>
    </row>
    <row r="112" spans="1:12" ht="47.25">
      <c r="A112" s="196" t="s">
        <v>430</v>
      </c>
      <c r="B112" s="96">
        <v>934</v>
      </c>
      <c r="C112" s="96" t="s">
        <v>215</v>
      </c>
      <c r="D112" s="96" t="s">
        <v>241</v>
      </c>
      <c r="E112" s="96" t="s">
        <v>432</v>
      </c>
      <c r="F112" s="96" t="s">
        <v>431</v>
      </c>
      <c r="G112" s="109">
        <f>32.31076+0.97419</f>
        <v>33.284950000000002</v>
      </c>
      <c r="H112" s="109">
        <f>G112</f>
        <v>33.284950000000002</v>
      </c>
    </row>
    <row r="113" spans="1:8" ht="31.5">
      <c r="A113" s="153" t="s">
        <v>275</v>
      </c>
      <c r="B113" s="96">
        <v>934</v>
      </c>
      <c r="C113" s="96" t="s">
        <v>215</v>
      </c>
      <c r="D113" s="96" t="s">
        <v>241</v>
      </c>
      <c r="E113" s="96" t="s">
        <v>432</v>
      </c>
      <c r="F113" s="96" t="s">
        <v>413</v>
      </c>
      <c r="G113" s="109">
        <v>36.4</v>
      </c>
      <c r="H113" s="109">
        <f>G113</f>
        <v>36.4</v>
      </c>
    </row>
    <row r="114" spans="1:8" s="91" customFormat="1" ht="47.25">
      <c r="A114" s="77" t="s">
        <v>55</v>
      </c>
      <c r="B114" s="95">
        <v>934</v>
      </c>
      <c r="C114" s="95" t="s">
        <v>215</v>
      </c>
      <c r="D114" s="95" t="s">
        <v>241</v>
      </c>
      <c r="E114" s="96" t="s">
        <v>6</v>
      </c>
      <c r="F114" s="95"/>
      <c r="G114" s="108">
        <f>G115+G116+G117+G118</f>
        <v>893.99999999999989</v>
      </c>
      <c r="H114" s="108">
        <f>H115+H116+H117+H118</f>
        <v>893.99999999999989</v>
      </c>
    </row>
    <row r="115" spans="1:8">
      <c r="A115" s="76" t="s">
        <v>429</v>
      </c>
      <c r="B115" s="96">
        <v>934</v>
      </c>
      <c r="C115" s="96" t="s">
        <v>215</v>
      </c>
      <c r="D115" s="96" t="s">
        <v>241</v>
      </c>
      <c r="E115" s="96" t="s">
        <v>6</v>
      </c>
      <c r="F115" s="96" t="s">
        <v>412</v>
      </c>
      <c r="G115" s="109">
        <f>573.04167+24.65438+17.97235</f>
        <v>615.66839999999991</v>
      </c>
      <c r="H115" s="109">
        <f>G115</f>
        <v>615.66839999999991</v>
      </c>
    </row>
    <row r="116" spans="1:8" ht="31.5">
      <c r="A116" s="76" t="s">
        <v>15</v>
      </c>
      <c r="B116" s="96">
        <v>934</v>
      </c>
      <c r="C116" s="96" t="s">
        <v>215</v>
      </c>
      <c r="D116" s="96" t="s">
        <v>241</v>
      </c>
      <c r="E116" s="96" t="s">
        <v>6</v>
      </c>
      <c r="F116" s="96" t="s">
        <v>417</v>
      </c>
      <c r="G116" s="109">
        <f>8.23</f>
        <v>8.23</v>
      </c>
      <c r="H116" s="109">
        <f>G116</f>
        <v>8.23</v>
      </c>
    </row>
    <row r="117" spans="1:8" ht="47.25">
      <c r="A117" s="196" t="s">
        <v>430</v>
      </c>
      <c r="B117" s="96">
        <v>934</v>
      </c>
      <c r="C117" s="96" t="s">
        <v>215</v>
      </c>
      <c r="D117" s="96" t="s">
        <v>241</v>
      </c>
      <c r="E117" s="96" t="s">
        <v>6</v>
      </c>
      <c r="F117" s="96" t="s">
        <v>431</v>
      </c>
      <c r="G117" s="109">
        <f>173.05833+7.44562+5.42765</f>
        <v>185.9316</v>
      </c>
      <c r="H117" s="109">
        <f>G117</f>
        <v>185.9316</v>
      </c>
    </row>
    <row r="118" spans="1:8" ht="31.5">
      <c r="A118" s="153" t="s">
        <v>275</v>
      </c>
      <c r="B118" s="96">
        <v>934</v>
      </c>
      <c r="C118" s="96" t="s">
        <v>215</v>
      </c>
      <c r="D118" s="96" t="s">
        <v>241</v>
      </c>
      <c r="E118" s="96" t="s">
        <v>6</v>
      </c>
      <c r="F118" s="96" t="s">
        <v>413</v>
      </c>
      <c r="G118" s="109">
        <v>84.17</v>
      </c>
      <c r="H118" s="109">
        <f>G118</f>
        <v>84.17</v>
      </c>
    </row>
    <row r="119" spans="1:8" s="160" customFormat="1" ht="31.5">
      <c r="A119" s="158" t="s">
        <v>59</v>
      </c>
      <c r="B119" s="159">
        <v>934</v>
      </c>
      <c r="C119" s="159" t="s">
        <v>215</v>
      </c>
      <c r="D119" s="159" t="s">
        <v>241</v>
      </c>
      <c r="E119" s="159" t="s">
        <v>538</v>
      </c>
      <c r="F119" s="159"/>
      <c r="G119" s="122">
        <f>G120+G121+G122</f>
        <v>280</v>
      </c>
      <c r="H119" s="122">
        <f>H120+H121+H122</f>
        <v>280</v>
      </c>
    </row>
    <row r="120" spans="1:8">
      <c r="A120" s="76" t="s">
        <v>429</v>
      </c>
      <c r="B120" s="96">
        <v>934</v>
      </c>
      <c r="C120" s="96" t="s">
        <v>215</v>
      </c>
      <c r="D120" s="96" t="s">
        <v>241</v>
      </c>
      <c r="E120" s="150" t="s">
        <v>538</v>
      </c>
      <c r="F120" s="96" t="s">
        <v>412</v>
      </c>
      <c r="G120" s="109">
        <f>160.668+6.452+7.21966+5.22273</f>
        <v>179.56239000000002</v>
      </c>
      <c r="H120" s="109">
        <f>G120</f>
        <v>179.56239000000002</v>
      </c>
    </row>
    <row r="121" spans="1:8" ht="47.25">
      <c r="A121" s="196" t="s">
        <v>430</v>
      </c>
      <c r="B121" s="96">
        <v>934</v>
      </c>
      <c r="C121" s="96" t="s">
        <v>215</v>
      </c>
      <c r="D121" s="96" t="s">
        <v>241</v>
      </c>
      <c r="E121" s="150" t="s">
        <v>538</v>
      </c>
      <c r="F121" s="96" t="s">
        <v>431</v>
      </c>
      <c r="G121" s="109">
        <f>48.522+1.948+2.18034+1.57727</f>
        <v>54.227609999999999</v>
      </c>
      <c r="H121" s="109">
        <f>G121</f>
        <v>54.227609999999999</v>
      </c>
    </row>
    <row r="122" spans="1:8" ht="31.5">
      <c r="A122" s="153" t="s">
        <v>275</v>
      </c>
      <c r="B122" s="96">
        <v>934</v>
      </c>
      <c r="C122" s="96" t="s">
        <v>215</v>
      </c>
      <c r="D122" s="96" t="s">
        <v>241</v>
      </c>
      <c r="E122" s="150" t="s">
        <v>538</v>
      </c>
      <c r="F122" s="96" t="s">
        <v>413</v>
      </c>
      <c r="G122" s="109">
        <v>46.21</v>
      </c>
      <c r="H122" s="109">
        <f>G122</f>
        <v>46.21</v>
      </c>
    </row>
    <row r="123" spans="1:8" s="92" customFormat="1" ht="31.5">
      <c r="A123" s="80" t="s">
        <v>234</v>
      </c>
      <c r="B123" s="102">
        <v>934</v>
      </c>
      <c r="C123" s="103" t="s">
        <v>218</v>
      </c>
      <c r="D123" s="103"/>
      <c r="E123" s="103"/>
      <c r="F123" s="103"/>
      <c r="G123" s="104">
        <f>G124</f>
        <v>1200.3455000000001</v>
      </c>
      <c r="H123" s="104">
        <f>H124</f>
        <v>0</v>
      </c>
    </row>
    <row r="124" spans="1:8" s="91" customFormat="1" ht="31.5">
      <c r="A124" s="79" t="s">
        <v>235</v>
      </c>
      <c r="B124" s="105">
        <v>934</v>
      </c>
      <c r="C124" s="106" t="s">
        <v>218</v>
      </c>
      <c r="D124" s="106" t="s">
        <v>219</v>
      </c>
      <c r="E124" s="106"/>
      <c r="F124" s="106"/>
      <c r="G124" s="107">
        <f>G125+G128</f>
        <v>1200.3455000000001</v>
      </c>
      <c r="H124" s="107">
        <f>H125</f>
        <v>0</v>
      </c>
    </row>
    <row r="125" spans="1:8" s="91" customFormat="1" ht="33" customHeight="1">
      <c r="A125" s="174" t="s">
        <v>1116</v>
      </c>
      <c r="B125" s="175">
        <v>934</v>
      </c>
      <c r="C125" s="176" t="s">
        <v>218</v>
      </c>
      <c r="D125" s="176" t="s">
        <v>219</v>
      </c>
      <c r="E125" s="176" t="s">
        <v>985</v>
      </c>
      <c r="F125" s="176"/>
      <c r="G125" s="178">
        <f>G126</f>
        <v>1150.3455000000001</v>
      </c>
      <c r="H125" s="178">
        <f>H126</f>
        <v>0</v>
      </c>
    </row>
    <row r="126" spans="1:8" s="91" customFormat="1" ht="55.5" customHeight="1">
      <c r="A126" s="174" t="s">
        <v>1010</v>
      </c>
      <c r="B126" s="175">
        <v>934</v>
      </c>
      <c r="C126" s="176" t="s">
        <v>218</v>
      </c>
      <c r="D126" s="176" t="s">
        <v>219</v>
      </c>
      <c r="E126" s="176" t="s">
        <v>540</v>
      </c>
      <c r="F126" s="176"/>
      <c r="G126" s="178">
        <f>G127</f>
        <v>1150.3455000000001</v>
      </c>
      <c r="H126" s="178">
        <f>H127</f>
        <v>0</v>
      </c>
    </row>
    <row r="127" spans="1:8" ht="31.5">
      <c r="A127" s="153" t="s">
        <v>275</v>
      </c>
      <c r="B127" s="98">
        <v>934</v>
      </c>
      <c r="C127" s="95" t="s">
        <v>218</v>
      </c>
      <c r="D127" s="95" t="s">
        <v>219</v>
      </c>
      <c r="E127" s="150" t="s">
        <v>540</v>
      </c>
      <c r="F127" s="96" t="s">
        <v>413</v>
      </c>
      <c r="G127" s="109">
        <f>90+2358.92092-1298.57542</f>
        <v>1150.3455000000001</v>
      </c>
      <c r="H127" s="109">
        <v>0</v>
      </c>
    </row>
    <row r="128" spans="1:8" ht="29.25" customHeight="1">
      <c r="A128" s="173" t="s">
        <v>445</v>
      </c>
      <c r="B128" s="98">
        <v>934</v>
      </c>
      <c r="C128" s="95" t="s">
        <v>218</v>
      </c>
      <c r="D128" s="95" t="s">
        <v>219</v>
      </c>
      <c r="E128" s="96" t="s">
        <v>541</v>
      </c>
      <c r="F128" s="225"/>
      <c r="G128" s="235">
        <f>G129</f>
        <v>50</v>
      </c>
      <c r="H128" s="109">
        <v>0</v>
      </c>
    </row>
    <row r="129" spans="1:8" ht="31.5">
      <c r="A129" s="153" t="s">
        <v>275</v>
      </c>
      <c r="B129" s="98">
        <v>934</v>
      </c>
      <c r="C129" s="95" t="s">
        <v>218</v>
      </c>
      <c r="D129" s="95" t="s">
        <v>219</v>
      </c>
      <c r="E129" s="96" t="s">
        <v>541</v>
      </c>
      <c r="F129" s="96" t="s">
        <v>413</v>
      </c>
      <c r="G129" s="109">
        <v>50</v>
      </c>
      <c r="H129" s="109">
        <v>0</v>
      </c>
    </row>
    <row r="130" spans="1:8" s="92" customFormat="1">
      <c r="A130" s="80" t="s">
        <v>423</v>
      </c>
      <c r="B130" s="102">
        <v>934</v>
      </c>
      <c r="C130" s="103" t="s">
        <v>224</v>
      </c>
      <c r="D130" s="103"/>
      <c r="E130" s="103"/>
      <c r="F130" s="103"/>
      <c r="G130" s="104">
        <f>G131+G147+G151</f>
        <v>5754.5409</v>
      </c>
      <c r="H130" s="104">
        <f>H131+H147+H151</f>
        <v>2299</v>
      </c>
    </row>
    <row r="131" spans="1:8" s="91" customFormat="1">
      <c r="A131" s="79" t="s">
        <v>232</v>
      </c>
      <c r="B131" s="106" t="s">
        <v>203</v>
      </c>
      <c r="C131" s="106" t="s">
        <v>224</v>
      </c>
      <c r="D131" s="106" t="s">
        <v>225</v>
      </c>
      <c r="E131" s="106"/>
      <c r="F131" s="106"/>
      <c r="G131" s="107">
        <f>G132+G144</f>
        <v>2476</v>
      </c>
      <c r="H131" s="107">
        <f>H132+H144</f>
        <v>1725.9999999999998</v>
      </c>
    </row>
    <row r="132" spans="1:8" s="91" customFormat="1">
      <c r="A132" s="79" t="s">
        <v>118</v>
      </c>
      <c r="B132" s="106" t="s">
        <v>203</v>
      </c>
      <c r="C132" s="106" t="s">
        <v>224</v>
      </c>
      <c r="D132" s="106" t="s">
        <v>225</v>
      </c>
      <c r="E132" s="106" t="s">
        <v>3</v>
      </c>
      <c r="F132" s="106"/>
      <c r="G132" s="107">
        <f>G133</f>
        <v>1725.9999999999998</v>
      </c>
      <c r="H132" s="107">
        <f>H133</f>
        <v>1725.9999999999998</v>
      </c>
    </row>
    <row r="133" spans="1:8" s="91" customFormat="1">
      <c r="A133" s="79" t="s">
        <v>7</v>
      </c>
      <c r="B133" s="106" t="s">
        <v>203</v>
      </c>
      <c r="C133" s="106" t="s">
        <v>224</v>
      </c>
      <c r="D133" s="106" t="s">
        <v>225</v>
      </c>
      <c r="E133" s="106" t="s">
        <v>537</v>
      </c>
      <c r="F133" s="106"/>
      <c r="G133" s="107">
        <f>G134+G136+G139+G141</f>
        <v>1725.9999999999998</v>
      </c>
      <c r="H133" s="107">
        <f>H134+H136+H139+H141</f>
        <v>1725.9999999999998</v>
      </c>
    </row>
    <row r="134" spans="1:8" ht="50.25" customHeight="1">
      <c r="A134" s="74" t="s">
        <v>578</v>
      </c>
      <c r="B134" s="97">
        <v>934</v>
      </c>
      <c r="C134" s="95" t="s">
        <v>224</v>
      </c>
      <c r="D134" s="95" t="s">
        <v>225</v>
      </c>
      <c r="E134" s="159" t="s">
        <v>543</v>
      </c>
      <c r="F134" s="111"/>
      <c r="G134" s="108">
        <f>G135</f>
        <v>1674.6</v>
      </c>
      <c r="H134" s="108">
        <f>H135</f>
        <v>1674.6</v>
      </c>
    </row>
    <row r="135" spans="1:8" ht="31.5">
      <c r="A135" s="153" t="s">
        <v>275</v>
      </c>
      <c r="B135" s="98">
        <v>934</v>
      </c>
      <c r="C135" s="96" t="s">
        <v>224</v>
      </c>
      <c r="D135" s="96" t="s">
        <v>225</v>
      </c>
      <c r="E135" s="150" t="s">
        <v>543</v>
      </c>
      <c r="F135" s="110">
        <v>244</v>
      </c>
      <c r="G135" s="109">
        <v>1674.6</v>
      </c>
      <c r="H135" s="109">
        <f>G135</f>
        <v>1674.6</v>
      </c>
    </row>
    <row r="136" spans="1:8" ht="47.25" customHeight="1">
      <c r="A136" s="74" t="s">
        <v>586</v>
      </c>
      <c r="B136" s="97">
        <v>934</v>
      </c>
      <c r="C136" s="95" t="s">
        <v>224</v>
      </c>
      <c r="D136" s="95" t="s">
        <v>225</v>
      </c>
      <c r="E136" s="150" t="s">
        <v>544</v>
      </c>
      <c r="F136" s="111"/>
      <c r="G136" s="108">
        <f>G137+G138</f>
        <v>25.1</v>
      </c>
      <c r="H136" s="108">
        <f>H137+H138</f>
        <v>25.1</v>
      </c>
    </row>
    <row r="137" spans="1:8">
      <c r="A137" s="76" t="s">
        <v>429</v>
      </c>
      <c r="B137" s="96">
        <v>934</v>
      </c>
      <c r="C137" s="96" t="s">
        <v>224</v>
      </c>
      <c r="D137" s="96" t="s">
        <v>225</v>
      </c>
      <c r="E137" s="150" t="s">
        <v>544</v>
      </c>
      <c r="F137" s="96" t="s">
        <v>412</v>
      </c>
      <c r="G137" s="109">
        <v>19.278030000000001</v>
      </c>
      <c r="H137" s="109">
        <f>G137</f>
        <v>19.278030000000001</v>
      </c>
    </row>
    <row r="138" spans="1:8" ht="47.25">
      <c r="A138" s="196" t="s">
        <v>430</v>
      </c>
      <c r="B138" s="96">
        <v>934</v>
      </c>
      <c r="C138" s="96" t="s">
        <v>224</v>
      </c>
      <c r="D138" s="96" t="s">
        <v>225</v>
      </c>
      <c r="E138" s="150" t="s">
        <v>544</v>
      </c>
      <c r="F138" s="96" t="s">
        <v>431</v>
      </c>
      <c r="G138" s="109">
        <v>5.8219700000000003</v>
      </c>
      <c r="H138" s="109">
        <f>G138</f>
        <v>5.8219700000000003</v>
      </c>
    </row>
    <row r="139" spans="1:8" s="91" customFormat="1" ht="43.5" customHeight="1">
      <c r="A139" s="77" t="s">
        <v>373</v>
      </c>
      <c r="B139" s="97">
        <v>934</v>
      </c>
      <c r="C139" s="95" t="s">
        <v>224</v>
      </c>
      <c r="D139" s="95" t="s">
        <v>225</v>
      </c>
      <c r="E139" s="95" t="s">
        <v>545</v>
      </c>
      <c r="F139" s="97"/>
      <c r="G139" s="108">
        <f>G140</f>
        <v>25</v>
      </c>
      <c r="H139" s="490">
        <f>H140</f>
        <v>25</v>
      </c>
    </row>
    <row r="140" spans="1:8" s="91" customFormat="1" ht="78.75">
      <c r="A140" s="76" t="s">
        <v>816</v>
      </c>
      <c r="B140" s="98">
        <v>934</v>
      </c>
      <c r="C140" s="96" t="s">
        <v>224</v>
      </c>
      <c r="D140" s="96" t="s">
        <v>225</v>
      </c>
      <c r="E140" s="96" t="s">
        <v>545</v>
      </c>
      <c r="F140" s="98">
        <v>812</v>
      </c>
      <c r="G140" s="109">
        <f>320.6-295.6</f>
        <v>25</v>
      </c>
      <c r="H140" s="109">
        <f>320.6-295.6</f>
        <v>25</v>
      </c>
    </row>
    <row r="141" spans="1:8" s="91" customFormat="1" ht="53.25" customHeight="1">
      <c r="A141" s="158" t="s">
        <v>585</v>
      </c>
      <c r="B141" s="191">
        <v>934</v>
      </c>
      <c r="C141" s="159" t="s">
        <v>224</v>
      </c>
      <c r="D141" s="159" t="s">
        <v>225</v>
      </c>
      <c r="E141" s="159" t="s">
        <v>546</v>
      </c>
      <c r="F141" s="191"/>
      <c r="G141" s="122">
        <f>G142+G143</f>
        <v>1.3</v>
      </c>
      <c r="H141" s="122">
        <f>H142+H143</f>
        <v>1.3</v>
      </c>
    </row>
    <row r="142" spans="1:8" s="91" customFormat="1" ht="16.5" customHeight="1">
      <c r="A142" s="170" t="s">
        <v>429</v>
      </c>
      <c r="B142" s="154">
        <v>934</v>
      </c>
      <c r="C142" s="150" t="s">
        <v>224</v>
      </c>
      <c r="D142" s="150" t="s">
        <v>225</v>
      </c>
      <c r="E142" s="150" t="s">
        <v>546</v>
      </c>
      <c r="F142" s="154">
        <v>121</v>
      </c>
      <c r="G142" s="149">
        <v>0.99846000000000001</v>
      </c>
      <c r="H142" s="149">
        <f>G142</f>
        <v>0.99846000000000001</v>
      </c>
    </row>
    <row r="143" spans="1:8" s="91" customFormat="1" ht="49.5" customHeight="1">
      <c r="A143" s="242" t="s">
        <v>430</v>
      </c>
      <c r="B143" s="154">
        <v>934</v>
      </c>
      <c r="C143" s="150" t="s">
        <v>224</v>
      </c>
      <c r="D143" s="150" t="s">
        <v>225</v>
      </c>
      <c r="E143" s="150" t="s">
        <v>546</v>
      </c>
      <c r="F143" s="154">
        <v>129</v>
      </c>
      <c r="G143" s="149">
        <v>0.30153999999999997</v>
      </c>
      <c r="H143" s="149">
        <f>G143</f>
        <v>0.30153999999999997</v>
      </c>
    </row>
    <row r="144" spans="1:8" s="91" customFormat="1" ht="49.5" customHeight="1">
      <c r="A144" s="188" t="s">
        <v>838</v>
      </c>
      <c r="B144" s="175">
        <v>934</v>
      </c>
      <c r="C144" s="176" t="s">
        <v>224</v>
      </c>
      <c r="D144" s="176" t="s">
        <v>225</v>
      </c>
      <c r="E144" s="176" t="s">
        <v>594</v>
      </c>
      <c r="F144" s="175"/>
      <c r="G144" s="178">
        <f>G145</f>
        <v>750</v>
      </c>
      <c r="H144" s="178">
        <f>H145</f>
        <v>0</v>
      </c>
    </row>
    <row r="145" spans="1:8" s="91" customFormat="1" ht="37.5" customHeight="1">
      <c r="A145" s="188" t="s">
        <v>1011</v>
      </c>
      <c r="B145" s="175">
        <v>934</v>
      </c>
      <c r="C145" s="176" t="s">
        <v>224</v>
      </c>
      <c r="D145" s="176" t="s">
        <v>225</v>
      </c>
      <c r="E145" s="176" t="s">
        <v>986</v>
      </c>
      <c r="F145" s="175"/>
      <c r="G145" s="178">
        <f>G146</f>
        <v>750</v>
      </c>
      <c r="H145" s="178">
        <f>H146</f>
        <v>0</v>
      </c>
    </row>
    <row r="146" spans="1:8" s="91" customFormat="1" ht="47.25">
      <c r="A146" s="153" t="s">
        <v>569</v>
      </c>
      <c r="B146" s="98">
        <v>934</v>
      </c>
      <c r="C146" s="96" t="s">
        <v>224</v>
      </c>
      <c r="D146" s="96" t="s">
        <v>225</v>
      </c>
      <c r="E146" s="150" t="s">
        <v>542</v>
      </c>
      <c r="F146" s="96" t="s">
        <v>515</v>
      </c>
      <c r="G146" s="109">
        <v>750</v>
      </c>
      <c r="H146" s="109">
        <v>0</v>
      </c>
    </row>
    <row r="147" spans="1:8" s="91" customFormat="1" ht="20.25" customHeight="1">
      <c r="A147" s="619" t="s">
        <v>272</v>
      </c>
      <c r="B147" s="102">
        <v>934</v>
      </c>
      <c r="C147" s="103" t="s">
        <v>224</v>
      </c>
      <c r="D147" s="103" t="s">
        <v>219</v>
      </c>
      <c r="E147" s="341"/>
      <c r="F147" s="103"/>
      <c r="G147" s="104">
        <f t="shared" ref="G147:H149" si="6">G148</f>
        <v>1550</v>
      </c>
      <c r="H147" s="104">
        <f t="shared" si="6"/>
        <v>0</v>
      </c>
    </row>
    <row r="148" spans="1:8" s="91" customFormat="1" ht="31.5">
      <c r="A148" s="670" t="s">
        <v>870</v>
      </c>
      <c r="B148" s="192">
        <v>934</v>
      </c>
      <c r="C148" s="185" t="s">
        <v>224</v>
      </c>
      <c r="D148" s="185" t="s">
        <v>219</v>
      </c>
      <c r="E148" s="687" t="s">
        <v>987</v>
      </c>
      <c r="F148" s="176"/>
      <c r="G148" s="194">
        <f t="shared" si="6"/>
        <v>1550</v>
      </c>
      <c r="H148" s="194">
        <f t="shared" si="6"/>
        <v>0</v>
      </c>
    </row>
    <row r="149" spans="1:8" s="91" customFormat="1" ht="78.75">
      <c r="A149" s="193" t="s">
        <v>1013</v>
      </c>
      <c r="B149" s="192">
        <v>934</v>
      </c>
      <c r="C149" s="185" t="s">
        <v>224</v>
      </c>
      <c r="D149" s="185" t="s">
        <v>219</v>
      </c>
      <c r="E149" s="687" t="s">
        <v>987</v>
      </c>
      <c r="F149" s="176"/>
      <c r="G149" s="194">
        <f t="shared" si="6"/>
        <v>1550</v>
      </c>
      <c r="H149" s="194">
        <f t="shared" si="6"/>
        <v>0</v>
      </c>
    </row>
    <row r="150" spans="1:8" s="91" customFormat="1" ht="31.5">
      <c r="A150" s="153" t="s">
        <v>275</v>
      </c>
      <c r="B150" s="98">
        <v>934</v>
      </c>
      <c r="C150" s="96" t="s">
        <v>224</v>
      </c>
      <c r="D150" s="96" t="s">
        <v>219</v>
      </c>
      <c r="E150" s="682" t="s">
        <v>873</v>
      </c>
      <c r="F150" s="96" t="s">
        <v>413</v>
      </c>
      <c r="G150" s="109">
        <v>1550</v>
      </c>
      <c r="H150" s="109">
        <v>0</v>
      </c>
    </row>
    <row r="151" spans="1:8" s="91" customFormat="1" ht="45.75" customHeight="1">
      <c r="A151" s="79" t="s">
        <v>57</v>
      </c>
      <c r="B151" s="106">
        <v>934</v>
      </c>
      <c r="C151" s="106" t="s">
        <v>224</v>
      </c>
      <c r="D151" s="106" t="s">
        <v>222</v>
      </c>
      <c r="E151" s="106"/>
      <c r="F151" s="106"/>
      <c r="G151" s="107">
        <f>G152+G156+G166+G227</f>
        <v>1728.5409</v>
      </c>
      <c r="H151" s="107">
        <f>H152+H156+H166+H227</f>
        <v>573</v>
      </c>
    </row>
    <row r="152" spans="1:8" s="91" customFormat="1" ht="31.5">
      <c r="A152" s="174" t="s">
        <v>648</v>
      </c>
      <c r="B152" s="176" t="s">
        <v>203</v>
      </c>
      <c r="C152" s="176" t="s">
        <v>224</v>
      </c>
      <c r="D152" s="176" t="s">
        <v>222</v>
      </c>
      <c r="E152" s="176" t="s">
        <v>988</v>
      </c>
      <c r="F152" s="176"/>
      <c r="G152" s="178">
        <f>G153</f>
        <v>655.54089999999997</v>
      </c>
      <c r="H152" s="178">
        <f>H153</f>
        <v>0</v>
      </c>
    </row>
    <row r="153" spans="1:8" s="91" customFormat="1">
      <c r="A153" s="174" t="s">
        <v>1012</v>
      </c>
      <c r="B153" s="176" t="s">
        <v>203</v>
      </c>
      <c r="C153" s="176" t="s">
        <v>224</v>
      </c>
      <c r="D153" s="176" t="s">
        <v>222</v>
      </c>
      <c r="E153" s="176" t="s">
        <v>988</v>
      </c>
      <c r="F153" s="176"/>
      <c r="G153" s="178">
        <f>G154</f>
        <v>655.54089999999997</v>
      </c>
      <c r="H153" s="178">
        <f>H154</f>
        <v>0</v>
      </c>
    </row>
    <row r="154" spans="1:8" s="91" customFormat="1" ht="31.5">
      <c r="A154" s="153" t="s">
        <v>275</v>
      </c>
      <c r="B154" s="96" t="s">
        <v>203</v>
      </c>
      <c r="C154" s="96" t="s">
        <v>224</v>
      </c>
      <c r="D154" s="96" t="s">
        <v>222</v>
      </c>
      <c r="E154" s="150" t="s">
        <v>548</v>
      </c>
      <c r="F154" s="96" t="s">
        <v>413</v>
      </c>
      <c r="G154" s="109">
        <v>655.54089999999997</v>
      </c>
      <c r="H154" s="109">
        <v>0</v>
      </c>
    </row>
    <row r="155" spans="1:8" s="91" customFormat="1" ht="47.25">
      <c r="A155" s="426" t="s">
        <v>895</v>
      </c>
      <c r="B155" s="185" t="s">
        <v>203</v>
      </c>
      <c r="C155" s="185" t="s">
        <v>224</v>
      </c>
      <c r="D155" s="185" t="s">
        <v>222</v>
      </c>
      <c r="E155" s="185" t="s">
        <v>566</v>
      </c>
      <c r="F155" s="185"/>
      <c r="G155" s="194">
        <f>G156</f>
        <v>1060</v>
      </c>
      <c r="H155" s="194">
        <f>H156</f>
        <v>570</v>
      </c>
    </row>
    <row r="156" spans="1:8" s="91" customFormat="1" ht="47.25">
      <c r="A156" s="426" t="s">
        <v>898</v>
      </c>
      <c r="B156" s="185" t="s">
        <v>203</v>
      </c>
      <c r="C156" s="185" t="s">
        <v>224</v>
      </c>
      <c r="D156" s="185" t="s">
        <v>222</v>
      </c>
      <c r="E156" s="185" t="s">
        <v>521</v>
      </c>
      <c r="F156" s="185"/>
      <c r="G156" s="194">
        <f>G157</f>
        <v>1060</v>
      </c>
      <c r="H156" s="194">
        <f>H157</f>
        <v>570</v>
      </c>
    </row>
    <row r="157" spans="1:8" s="91" customFormat="1" ht="31.5">
      <c r="A157" s="426" t="s">
        <v>1014</v>
      </c>
      <c r="B157" s="185" t="s">
        <v>203</v>
      </c>
      <c r="C157" s="185" t="s">
        <v>224</v>
      </c>
      <c r="D157" s="185" t="s">
        <v>222</v>
      </c>
      <c r="E157" s="185" t="s">
        <v>521</v>
      </c>
      <c r="F157" s="185"/>
      <c r="G157" s="194">
        <f>G158+G160+G162+G164</f>
        <v>1060</v>
      </c>
      <c r="H157" s="194">
        <f>H158+H160+H162+H164</f>
        <v>570</v>
      </c>
    </row>
    <row r="158" spans="1:8" s="203" customFormat="1" ht="47.25">
      <c r="A158" s="209" t="s">
        <v>740</v>
      </c>
      <c r="B158" s="96" t="s">
        <v>203</v>
      </c>
      <c r="C158" s="96" t="s">
        <v>224</v>
      </c>
      <c r="D158" s="96" t="s">
        <v>222</v>
      </c>
      <c r="E158" s="96" t="s">
        <v>522</v>
      </c>
      <c r="F158" s="205"/>
      <c r="G158" s="200">
        <f>G159</f>
        <v>90</v>
      </c>
      <c r="H158" s="200">
        <f>H159</f>
        <v>0</v>
      </c>
    </row>
    <row r="159" spans="1:8" s="91" customFormat="1" ht="37.5" customHeight="1">
      <c r="A159" s="153" t="s">
        <v>275</v>
      </c>
      <c r="B159" s="96" t="s">
        <v>203</v>
      </c>
      <c r="C159" s="96" t="s">
        <v>224</v>
      </c>
      <c r="D159" s="96" t="s">
        <v>222</v>
      </c>
      <c r="E159" s="96" t="s">
        <v>522</v>
      </c>
      <c r="F159" s="96" t="s">
        <v>413</v>
      </c>
      <c r="G159" s="109">
        <f>17.2+72.8</f>
        <v>90</v>
      </c>
      <c r="H159" s="109">
        <v>0</v>
      </c>
    </row>
    <row r="160" spans="1:8" s="91" customFormat="1" ht="39.75" customHeight="1">
      <c r="A160" s="166" t="s">
        <v>739</v>
      </c>
      <c r="B160" s="95" t="s">
        <v>203</v>
      </c>
      <c r="C160" s="95" t="s">
        <v>224</v>
      </c>
      <c r="D160" s="95" t="s">
        <v>222</v>
      </c>
      <c r="E160" s="95" t="s">
        <v>522</v>
      </c>
      <c r="F160" s="95"/>
      <c r="G160" s="108">
        <f>G161</f>
        <v>170</v>
      </c>
      <c r="H160" s="108">
        <f>H161</f>
        <v>170</v>
      </c>
    </row>
    <row r="161" spans="1:8" s="91" customFormat="1" ht="42.75" customHeight="1">
      <c r="A161" s="153" t="s">
        <v>275</v>
      </c>
      <c r="B161" s="96" t="s">
        <v>203</v>
      </c>
      <c r="C161" s="96" t="s">
        <v>224</v>
      </c>
      <c r="D161" s="96" t="s">
        <v>222</v>
      </c>
      <c r="E161" s="96" t="s">
        <v>522</v>
      </c>
      <c r="F161" s="96" t="s">
        <v>413</v>
      </c>
      <c r="G161" s="109">
        <v>170</v>
      </c>
      <c r="H161" s="109">
        <f>G161</f>
        <v>170</v>
      </c>
    </row>
    <row r="162" spans="1:8" s="91" customFormat="1" ht="58.5" customHeight="1">
      <c r="A162" s="153" t="s">
        <v>1219</v>
      </c>
      <c r="B162" s="96" t="s">
        <v>203</v>
      </c>
      <c r="C162" s="96" t="s">
        <v>224</v>
      </c>
      <c r="D162" s="96" t="s">
        <v>222</v>
      </c>
      <c r="E162" s="96" t="s">
        <v>1221</v>
      </c>
      <c r="F162" s="96"/>
      <c r="G162" s="109">
        <f>G163</f>
        <v>400</v>
      </c>
      <c r="H162" s="109">
        <f>H163</f>
        <v>400</v>
      </c>
    </row>
    <row r="163" spans="1:8" s="91" customFormat="1" ht="42.75" customHeight="1">
      <c r="A163" s="153" t="s">
        <v>275</v>
      </c>
      <c r="B163" s="96" t="s">
        <v>203</v>
      </c>
      <c r="C163" s="96" t="s">
        <v>224</v>
      </c>
      <c r="D163" s="96" t="s">
        <v>222</v>
      </c>
      <c r="E163" s="96" t="s">
        <v>1221</v>
      </c>
      <c r="F163" s="96" t="s">
        <v>413</v>
      </c>
      <c r="G163" s="109">
        <v>400</v>
      </c>
      <c r="H163" s="109">
        <f>G163</f>
        <v>400</v>
      </c>
    </row>
    <row r="164" spans="1:8" s="91" customFormat="1" ht="78" customHeight="1">
      <c r="A164" s="153" t="s">
        <v>1220</v>
      </c>
      <c r="B164" s="96" t="s">
        <v>203</v>
      </c>
      <c r="C164" s="96" t="s">
        <v>224</v>
      </c>
      <c r="D164" s="96" t="s">
        <v>222</v>
      </c>
      <c r="E164" s="96" t="s">
        <v>1221</v>
      </c>
      <c r="F164" s="96"/>
      <c r="G164" s="109">
        <f>G165</f>
        <v>400</v>
      </c>
      <c r="H164" s="109">
        <v>0</v>
      </c>
    </row>
    <row r="165" spans="1:8" s="91" customFormat="1" ht="42.75" customHeight="1">
      <c r="A165" s="153" t="s">
        <v>275</v>
      </c>
      <c r="B165" s="96" t="s">
        <v>203</v>
      </c>
      <c r="C165" s="96" t="s">
        <v>224</v>
      </c>
      <c r="D165" s="96" t="s">
        <v>222</v>
      </c>
      <c r="E165" s="96" t="s">
        <v>1221</v>
      </c>
      <c r="F165" s="96" t="s">
        <v>413</v>
      </c>
      <c r="G165" s="109">
        <v>400</v>
      </c>
      <c r="H165" s="109">
        <v>0</v>
      </c>
    </row>
    <row r="166" spans="1:8" s="91" customFormat="1" ht="18.75" customHeight="1">
      <c r="A166" s="126" t="s">
        <v>118</v>
      </c>
      <c r="B166" s="96" t="s">
        <v>203</v>
      </c>
      <c r="C166" s="96" t="s">
        <v>224</v>
      </c>
      <c r="D166" s="96" t="s">
        <v>222</v>
      </c>
      <c r="E166" s="96" t="s">
        <v>3</v>
      </c>
      <c r="F166" s="96"/>
      <c r="G166" s="109">
        <f>G167</f>
        <v>3</v>
      </c>
      <c r="H166" s="109">
        <f>H167+H227</f>
        <v>3</v>
      </c>
    </row>
    <row r="167" spans="1:8" s="157" customFormat="1" ht="66.75" customHeight="1">
      <c r="A167" s="77" t="s">
        <v>414</v>
      </c>
      <c r="B167" s="95" t="s">
        <v>203</v>
      </c>
      <c r="C167" s="95" t="s">
        <v>224</v>
      </c>
      <c r="D167" s="95" t="s">
        <v>222</v>
      </c>
      <c r="E167" s="95" t="s">
        <v>549</v>
      </c>
      <c r="F167" s="95"/>
      <c r="G167" s="108">
        <f>G168+G169</f>
        <v>3</v>
      </c>
      <c r="H167" s="108">
        <f>H168+H169</f>
        <v>3</v>
      </c>
    </row>
    <row r="168" spans="1:8" s="91" customFormat="1" ht="15.75" customHeight="1">
      <c r="A168" s="76" t="s">
        <v>429</v>
      </c>
      <c r="B168" s="96" t="s">
        <v>203</v>
      </c>
      <c r="C168" s="96" t="s">
        <v>224</v>
      </c>
      <c r="D168" s="96" t="s">
        <v>222</v>
      </c>
      <c r="E168" s="96" t="s">
        <v>549</v>
      </c>
      <c r="F168" s="96" t="s">
        <v>412</v>
      </c>
      <c r="G168" s="109">
        <v>2.3041499999999999</v>
      </c>
      <c r="H168" s="109">
        <f>G168</f>
        <v>2.3041499999999999</v>
      </c>
    </row>
    <row r="169" spans="1:8" s="91" customFormat="1" ht="47.25">
      <c r="A169" s="196" t="s">
        <v>430</v>
      </c>
      <c r="B169" s="96" t="s">
        <v>203</v>
      </c>
      <c r="C169" s="96" t="s">
        <v>224</v>
      </c>
      <c r="D169" s="96" t="s">
        <v>222</v>
      </c>
      <c r="E169" s="96" t="s">
        <v>549</v>
      </c>
      <c r="F169" s="96" t="s">
        <v>431</v>
      </c>
      <c r="G169" s="109">
        <v>0.69584999999999997</v>
      </c>
      <c r="H169" s="109">
        <f>G169</f>
        <v>0.69584999999999997</v>
      </c>
    </row>
    <row r="170" spans="1:8" s="91" customFormat="1">
      <c r="A170" s="80" t="s">
        <v>191</v>
      </c>
      <c r="B170" s="103" t="s">
        <v>203</v>
      </c>
      <c r="C170" s="103" t="s">
        <v>221</v>
      </c>
      <c r="D170" s="103"/>
      <c r="E170" s="103"/>
      <c r="F170" s="103"/>
      <c r="G170" s="104">
        <f>G171</f>
        <v>100</v>
      </c>
      <c r="H170" s="104">
        <f>H171</f>
        <v>0</v>
      </c>
    </row>
    <row r="171" spans="1:8" s="91" customFormat="1" ht="31.5">
      <c r="A171" s="79" t="s">
        <v>192</v>
      </c>
      <c r="B171" s="106" t="s">
        <v>203</v>
      </c>
      <c r="C171" s="106" t="s">
        <v>221</v>
      </c>
      <c r="D171" s="106" t="s">
        <v>216</v>
      </c>
      <c r="E171" s="106"/>
      <c r="F171" s="106"/>
      <c r="G171" s="107">
        <f t="shared" ref="G171:H172" si="7">G172</f>
        <v>100</v>
      </c>
      <c r="H171" s="107">
        <f t="shared" si="7"/>
        <v>0</v>
      </c>
    </row>
    <row r="172" spans="1:8" s="91" customFormat="1" ht="33" customHeight="1">
      <c r="A172" s="77" t="s">
        <v>161</v>
      </c>
      <c r="B172" s="95" t="s">
        <v>203</v>
      </c>
      <c r="C172" s="95" t="s">
        <v>221</v>
      </c>
      <c r="D172" s="95" t="s">
        <v>216</v>
      </c>
      <c r="E172" s="95" t="s">
        <v>530</v>
      </c>
      <c r="F172" s="95"/>
      <c r="G172" s="108">
        <f t="shared" si="7"/>
        <v>100</v>
      </c>
      <c r="H172" s="108">
        <f t="shared" si="7"/>
        <v>0</v>
      </c>
    </row>
    <row r="173" spans="1:8" s="91" customFormat="1" ht="31.5">
      <c r="A173" s="76" t="s">
        <v>393</v>
      </c>
      <c r="B173" s="96" t="s">
        <v>203</v>
      </c>
      <c r="C173" s="96" t="s">
        <v>221</v>
      </c>
      <c r="D173" s="96" t="s">
        <v>216</v>
      </c>
      <c r="E173" s="96" t="s">
        <v>5</v>
      </c>
      <c r="F173" s="96"/>
      <c r="G173" s="109">
        <f>G174</f>
        <v>100</v>
      </c>
      <c r="H173" s="109">
        <f>H174</f>
        <v>0</v>
      </c>
    </row>
    <row r="174" spans="1:8" s="91" customFormat="1" ht="31.5">
      <c r="A174" s="153" t="s">
        <v>275</v>
      </c>
      <c r="B174" s="96" t="s">
        <v>203</v>
      </c>
      <c r="C174" s="96" t="s">
        <v>221</v>
      </c>
      <c r="D174" s="96" t="s">
        <v>216</v>
      </c>
      <c r="E174" s="96" t="s">
        <v>5</v>
      </c>
      <c r="F174" s="96" t="s">
        <v>413</v>
      </c>
      <c r="G174" s="109">
        <v>100</v>
      </c>
      <c r="H174" s="109">
        <v>0</v>
      </c>
    </row>
    <row r="175" spans="1:8" s="92" customFormat="1">
      <c r="A175" s="80" t="s">
        <v>408</v>
      </c>
      <c r="B175" s="103">
        <v>934</v>
      </c>
      <c r="C175" s="103" t="s">
        <v>217</v>
      </c>
      <c r="D175" s="103" t="s">
        <v>513</v>
      </c>
      <c r="E175" s="114"/>
      <c r="F175" s="103"/>
      <c r="G175" s="104">
        <f>G176+G184</f>
        <v>12364.93</v>
      </c>
      <c r="H175" s="104">
        <f>H176+H184</f>
        <v>5927.7000000000007</v>
      </c>
    </row>
    <row r="176" spans="1:8" s="92" customFormat="1">
      <c r="A176" s="79" t="s">
        <v>477</v>
      </c>
      <c r="B176" s="106" t="s">
        <v>203</v>
      </c>
      <c r="C176" s="106" t="s">
        <v>217</v>
      </c>
      <c r="D176" s="106" t="s">
        <v>218</v>
      </c>
      <c r="E176" s="115"/>
      <c r="F176" s="106"/>
      <c r="G176" s="107">
        <f>G177</f>
        <v>12294.93</v>
      </c>
      <c r="H176" s="107">
        <f>H177</f>
        <v>5927.7000000000007</v>
      </c>
    </row>
    <row r="177" spans="1:8" s="91" customFormat="1" ht="31.5">
      <c r="A177" s="174" t="s">
        <v>779</v>
      </c>
      <c r="B177" s="176" t="s">
        <v>203</v>
      </c>
      <c r="C177" s="176" t="s">
        <v>217</v>
      </c>
      <c r="D177" s="176" t="s">
        <v>218</v>
      </c>
      <c r="E177" s="176" t="s">
        <v>579</v>
      </c>
      <c r="F177" s="176"/>
      <c r="G177" s="178">
        <f>G178</f>
        <v>12294.93</v>
      </c>
      <c r="H177" s="178">
        <f>H179</f>
        <v>5927.7000000000007</v>
      </c>
    </row>
    <row r="178" spans="1:8" s="91" customFormat="1" ht="35.25" customHeight="1">
      <c r="A178" s="174" t="s">
        <v>1015</v>
      </c>
      <c r="B178" s="176" t="s">
        <v>203</v>
      </c>
      <c r="C178" s="176" t="s">
        <v>217</v>
      </c>
      <c r="D178" s="176" t="s">
        <v>218</v>
      </c>
      <c r="E178" s="176" t="s">
        <v>579</v>
      </c>
      <c r="F178" s="176"/>
      <c r="G178" s="178">
        <f>G179+G181+G183</f>
        <v>12294.93</v>
      </c>
      <c r="H178" s="178">
        <f>H179+H181+H183</f>
        <v>5927.7000000000007</v>
      </c>
    </row>
    <row r="179" spans="1:8" s="92" customFormat="1" ht="94.5">
      <c r="A179" s="77" t="s">
        <v>184</v>
      </c>
      <c r="B179" s="95" t="s">
        <v>203</v>
      </c>
      <c r="C179" s="95" t="s">
        <v>217</v>
      </c>
      <c r="D179" s="95" t="s">
        <v>218</v>
      </c>
      <c r="E179" s="96" t="s">
        <v>730</v>
      </c>
      <c r="F179" s="95"/>
      <c r="G179" s="122">
        <f>G180</f>
        <v>5927.7000000000007</v>
      </c>
      <c r="H179" s="122">
        <f>H180</f>
        <v>5927.7000000000007</v>
      </c>
    </row>
    <row r="180" spans="1:8" s="92" customFormat="1">
      <c r="A180" s="76" t="s">
        <v>350</v>
      </c>
      <c r="B180" s="96" t="s">
        <v>203</v>
      </c>
      <c r="C180" s="96" t="s">
        <v>217</v>
      </c>
      <c r="D180" s="96" t="s">
        <v>218</v>
      </c>
      <c r="E180" s="96" t="s">
        <v>730</v>
      </c>
      <c r="F180" s="96" t="s">
        <v>351</v>
      </c>
      <c r="G180" s="109">
        <f>6425.6-497.9</f>
        <v>5927.7000000000007</v>
      </c>
      <c r="H180" s="109">
        <f>G180</f>
        <v>5927.7000000000007</v>
      </c>
    </row>
    <row r="181" spans="1:8" s="92" customFormat="1" ht="94.5">
      <c r="A181" s="76" t="s">
        <v>729</v>
      </c>
      <c r="B181" s="95" t="s">
        <v>203</v>
      </c>
      <c r="C181" s="95" t="s">
        <v>217</v>
      </c>
      <c r="D181" s="95" t="s">
        <v>218</v>
      </c>
      <c r="E181" s="96" t="s">
        <v>730</v>
      </c>
      <c r="F181" s="95"/>
      <c r="G181" s="109">
        <f>G182</f>
        <v>2017.34</v>
      </c>
      <c r="H181" s="109">
        <f>H182</f>
        <v>0</v>
      </c>
    </row>
    <row r="182" spans="1:8" s="92" customFormat="1">
      <c r="A182" s="76" t="s">
        <v>350</v>
      </c>
      <c r="B182" s="96" t="s">
        <v>203</v>
      </c>
      <c r="C182" s="96" t="s">
        <v>217</v>
      </c>
      <c r="D182" s="96" t="s">
        <v>218</v>
      </c>
      <c r="E182" s="96" t="s">
        <v>730</v>
      </c>
      <c r="F182" s="96" t="s">
        <v>351</v>
      </c>
      <c r="G182" s="109">
        <v>2017.34</v>
      </c>
      <c r="H182" s="109">
        <v>0</v>
      </c>
    </row>
    <row r="183" spans="1:8" s="92" customFormat="1" ht="47.25">
      <c r="A183" s="76" t="s">
        <v>349</v>
      </c>
      <c r="B183" s="96" t="s">
        <v>203</v>
      </c>
      <c r="C183" s="96" t="s">
        <v>217</v>
      </c>
      <c r="D183" s="96" t="s">
        <v>218</v>
      </c>
      <c r="E183" s="96" t="s">
        <v>553</v>
      </c>
      <c r="F183" s="96" t="s">
        <v>421</v>
      </c>
      <c r="G183" s="109">
        <f>4279.89+70</f>
        <v>4349.8900000000003</v>
      </c>
      <c r="H183" s="109">
        <v>0</v>
      </c>
    </row>
    <row r="184" spans="1:8" s="91" customFormat="1">
      <c r="A184" s="79" t="s">
        <v>401</v>
      </c>
      <c r="B184" s="105">
        <v>934</v>
      </c>
      <c r="C184" s="106" t="s">
        <v>217</v>
      </c>
      <c r="D184" s="106" t="s">
        <v>217</v>
      </c>
      <c r="E184" s="106"/>
      <c r="F184" s="106"/>
      <c r="G184" s="107">
        <f t="shared" ref="G184:H187" si="8">G185</f>
        <v>70</v>
      </c>
      <c r="H184" s="107">
        <f t="shared" si="8"/>
        <v>0</v>
      </c>
    </row>
    <row r="185" spans="1:8" s="91" customFormat="1" ht="31.5">
      <c r="A185" s="174" t="s">
        <v>891</v>
      </c>
      <c r="B185" s="175">
        <v>934</v>
      </c>
      <c r="C185" s="176" t="s">
        <v>217</v>
      </c>
      <c r="D185" s="176" t="s">
        <v>217</v>
      </c>
      <c r="E185" s="176" t="s">
        <v>621</v>
      </c>
      <c r="F185" s="176"/>
      <c r="G185" s="178">
        <f t="shared" si="8"/>
        <v>70</v>
      </c>
      <c r="H185" s="178">
        <f t="shared" si="8"/>
        <v>0</v>
      </c>
    </row>
    <row r="186" spans="1:8" s="91" customFormat="1" ht="31.5">
      <c r="A186" s="179" t="s">
        <v>893</v>
      </c>
      <c r="B186" s="181">
        <v>934</v>
      </c>
      <c r="C186" s="181" t="s">
        <v>217</v>
      </c>
      <c r="D186" s="181" t="s">
        <v>217</v>
      </c>
      <c r="E186" s="686" t="s">
        <v>554</v>
      </c>
      <c r="F186" s="181"/>
      <c r="G186" s="182">
        <f t="shared" si="8"/>
        <v>70</v>
      </c>
      <c r="H186" s="182">
        <f t="shared" si="8"/>
        <v>0</v>
      </c>
    </row>
    <row r="187" spans="1:8" s="91" customFormat="1">
      <c r="A187" s="179" t="s">
        <v>1016</v>
      </c>
      <c r="B187" s="181">
        <v>934</v>
      </c>
      <c r="C187" s="181" t="s">
        <v>217</v>
      </c>
      <c r="D187" s="181" t="s">
        <v>217</v>
      </c>
      <c r="E187" s="686" t="s">
        <v>554</v>
      </c>
      <c r="F187" s="181"/>
      <c r="G187" s="182">
        <f t="shared" si="8"/>
        <v>70</v>
      </c>
      <c r="H187" s="182">
        <f t="shared" si="8"/>
        <v>0</v>
      </c>
    </row>
    <row r="188" spans="1:8" ht="31.5">
      <c r="A188" s="153" t="s">
        <v>275</v>
      </c>
      <c r="B188" s="98">
        <v>934</v>
      </c>
      <c r="C188" s="96" t="s">
        <v>217</v>
      </c>
      <c r="D188" s="96" t="s">
        <v>217</v>
      </c>
      <c r="E188" s="482" t="s">
        <v>554</v>
      </c>
      <c r="F188" s="96" t="s">
        <v>413</v>
      </c>
      <c r="G188" s="109">
        <v>70</v>
      </c>
      <c r="H188" s="109">
        <v>0</v>
      </c>
    </row>
    <row r="189" spans="1:8">
      <c r="A189" s="80" t="s">
        <v>352</v>
      </c>
      <c r="B189" s="103" t="s">
        <v>203</v>
      </c>
      <c r="C189" s="103" t="s">
        <v>226</v>
      </c>
      <c r="D189" s="103"/>
      <c r="E189" s="103"/>
      <c r="F189" s="103"/>
      <c r="G189" s="104">
        <f>G190</f>
        <v>45564.985000000001</v>
      </c>
      <c r="H189" s="104">
        <f>H190</f>
        <v>20202.900000000001</v>
      </c>
    </row>
    <row r="190" spans="1:8">
      <c r="A190" s="79" t="s">
        <v>406</v>
      </c>
      <c r="B190" s="106" t="s">
        <v>203</v>
      </c>
      <c r="C190" s="106" t="s">
        <v>226</v>
      </c>
      <c r="D190" s="106" t="s">
        <v>215</v>
      </c>
      <c r="E190" s="106"/>
      <c r="F190" s="106"/>
      <c r="G190" s="107">
        <f>G194+G191</f>
        <v>45564.985000000001</v>
      </c>
      <c r="H190" s="107">
        <f>H194+H191</f>
        <v>20202.900000000001</v>
      </c>
    </row>
    <row r="191" spans="1:8" s="92" customFormat="1" ht="47.25">
      <c r="A191" s="174" t="s">
        <v>989</v>
      </c>
      <c r="B191" s="175">
        <v>934</v>
      </c>
      <c r="C191" s="176" t="s">
        <v>226</v>
      </c>
      <c r="D191" s="176" t="s">
        <v>215</v>
      </c>
      <c r="E191" s="176" t="s">
        <v>551</v>
      </c>
      <c r="F191" s="176"/>
      <c r="G191" s="178">
        <f>G192</f>
        <v>160</v>
      </c>
      <c r="H191" s="178">
        <f>H192</f>
        <v>0</v>
      </c>
    </row>
    <row r="192" spans="1:8" s="92" customFormat="1" ht="31.5">
      <c r="A192" s="174" t="s">
        <v>1017</v>
      </c>
      <c r="B192" s="175">
        <v>934</v>
      </c>
      <c r="C192" s="176" t="s">
        <v>226</v>
      </c>
      <c r="D192" s="176" t="s">
        <v>215</v>
      </c>
      <c r="E192" s="176" t="s">
        <v>551</v>
      </c>
      <c r="F192" s="176"/>
      <c r="G192" s="178">
        <f>G193</f>
        <v>160</v>
      </c>
      <c r="H192" s="178">
        <f>H193</f>
        <v>0</v>
      </c>
    </row>
    <row r="193" spans="1:8" s="92" customFormat="1">
      <c r="A193" s="76" t="s">
        <v>271</v>
      </c>
      <c r="B193" s="98">
        <v>934</v>
      </c>
      <c r="C193" s="96" t="s">
        <v>226</v>
      </c>
      <c r="D193" s="96" t="s">
        <v>215</v>
      </c>
      <c r="E193" s="150" t="s">
        <v>551</v>
      </c>
      <c r="F193" s="96" t="s">
        <v>268</v>
      </c>
      <c r="G193" s="122">
        <v>160</v>
      </c>
      <c r="H193" s="108">
        <v>0</v>
      </c>
    </row>
    <row r="194" spans="1:8" s="91" customFormat="1" ht="35.25" customHeight="1">
      <c r="A194" s="174" t="s">
        <v>778</v>
      </c>
      <c r="B194" s="175">
        <v>934</v>
      </c>
      <c r="C194" s="176" t="s">
        <v>226</v>
      </c>
      <c r="D194" s="176" t="s">
        <v>215</v>
      </c>
      <c r="E194" s="176" t="s">
        <v>579</v>
      </c>
      <c r="F194" s="176"/>
      <c r="G194" s="178">
        <f>G195</f>
        <v>45404.985000000001</v>
      </c>
      <c r="H194" s="178">
        <f>H195</f>
        <v>20202.900000000001</v>
      </c>
    </row>
    <row r="195" spans="1:8" s="91" customFormat="1" ht="35.25" customHeight="1">
      <c r="A195" s="174" t="s">
        <v>1053</v>
      </c>
      <c r="B195" s="175">
        <v>934</v>
      </c>
      <c r="C195" s="176" t="s">
        <v>226</v>
      </c>
      <c r="D195" s="176" t="s">
        <v>215</v>
      </c>
      <c r="E195" s="176" t="s">
        <v>579</v>
      </c>
      <c r="F195" s="176"/>
      <c r="G195" s="178">
        <f>G196+G198+G200+G202+G204</f>
        <v>45404.985000000001</v>
      </c>
      <c r="H195" s="178">
        <f>H196+H198+H200+H202+H204</f>
        <v>20202.900000000001</v>
      </c>
    </row>
    <row r="196" spans="1:8" ht="47.25">
      <c r="A196" s="77" t="s">
        <v>143</v>
      </c>
      <c r="B196" s="95" t="s">
        <v>203</v>
      </c>
      <c r="C196" s="95" t="s">
        <v>226</v>
      </c>
      <c r="D196" s="95" t="s">
        <v>215</v>
      </c>
      <c r="E196" s="95" t="s">
        <v>558</v>
      </c>
      <c r="F196" s="95"/>
      <c r="G196" s="122">
        <f>G197</f>
        <v>9672.3629999999994</v>
      </c>
      <c r="H196" s="122">
        <f>H197</f>
        <v>0</v>
      </c>
    </row>
    <row r="197" spans="1:8" ht="47.25">
      <c r="A197" s="76" t="s">
        <v>270</v>
      </c>
      <c r="B197" s="96" t="s">
        <v>203</v>
      </c>
      <c r="C197" s="96" t="s">
        <v>226</v>
      </c>
      <c r="D197" s="96" t="s">
        <v>215</v>
      </c>
      <c r="E197" s="96" t="s">
        <v>558</v>
      </c>
      <c r="F197" s="96" t="s">
        <v>420</v>
      </c>
      <c r="G197" s="109">
        <v>9672.3629999999994</v>
      </c>
      <c r="H197" s="109">
        <v>0</v>
      </c>
    </row>
    <row r="198" spans="1:8" ht="32.25" customHeight="1">
      <c r="A198" s="77" t="s">
        <v>103</v>
      </c>
      <c r="B198" s="95" t="s">
        <v>203</v>
      </c>
      <c r="C198" s="95" t="s">
        <v>226</v>
      </c>
      <c r="D198" s="95" t="s">
        <v>215</v>
      </c>
      <c r="E198" s="96" t="s">
        <v>559</v>
      </c>
      <c r="F198" s="95"/>
      <c r="G198" s="108">
        <f>G199</f>
        <v>2239.692</v>
      </c>
      <c r="H198" s="108">
        <f>H199</f>
        <v>0</v>
      </c>
    </row>
    <row r="199" spans="1:8" ht="53.25" customHeight="1">
      <c r="A199" s="76" t="s">
        <v>270</v>
      </c>
      <c r="B199" s="96" t="s">
        <v>203</v>
      </c>
      <c r="C199" s="96" t="s">
        <v>226</v>
      </c>
      <c r="D199" s="96" t="s">
        <v>215</v>
      </c>
      <c r="E199" s="96" t="s">
        <v>559</v>
      </c>
      <c r="F199" s="96" t="s">
        <v>420</v>
      </c>
      <c r="G199" s="620">
        <v>2239.692</v>
      </c>
      <c r="H199" s="109">
        <v>0</v>
      </c>
    </row>
    <row r="200" spans="1:8" ht="31.5">
      <c r="A200" s="77" t="s">
        <v>587</v>
      </c>
      <c r="B200" s="97">
        <v>934</v>
      </c>
      <c r="C200" s="95" t="s">
        <v>226</v>
      </c>
      <c r="D200" s="95" t="s">
        <v>215</v>
      </c>
      <c r="E200" s="150" t="s">
        <v>815</v>
      </c>
      <c r="F200" s="95"/>
      <c r="G200" s="149">
        <f>G201</f>
        <v>20080.900000000001</v>
      </c>
      <c r="H200" s="149">
        <f>H201</f>
        <v>20080.900000000001</v>
      </c>
    </row>
    <row r="201" spans="1:8">
      <c r="A201" s="76" t="s">
        <v>271</v>
      </c>
      <c r="B201" s="154">
        <v>934</v>
      </c>
      <c r="C201" s="150" t="s">
        <v>226</v>
      </c>
      <c r="D201" s="150" t="s">
        <v>215</v>
      </c>
      <c r="E201" s="150" t="s">
        <v>815</v>
      </c>
      <c r="F201" s="150" t="s">
        <v>268</v>
      </c>
      <c r="G201" s="149">
        <f>19102.2+978.7</f>
        <v>20080.900000000001</v>
      </c>
      <c r="H201" s="149">
        <f>G201</f>
        <v>20080.900000000001</v>
      </c>
    </row>
    <row r="202" spans="1:8" ht="31.5">
      <c r="A202" s="76" t="s">
        <v>728</v>
      </c>
      <c r="B202" s="98">
        <v>934</v>
      </c>
      <c r="C202" s="96" t="s">
        <v>226</v>
      </c>
      <c r="D202" s="96" t="s">
        <v>215</v>
      </c>
      <c r="E202" s="150" t="s">
        <v>815</v>
      </c>
      <c r="F202" s="96"/>
      <c r="G202" s="149">
        <f>G203</f>
        <v>13290.03</v>
      </c>
      <c r="H202" s="149">
        <f>H203</f>
        <v>0</v>
      </c>
    </row>
    <row r="203" spans="1:8">
      <c r="A203" s="76" t="s">
        <v>271</v>
      </c>
      <c r="B203" s="154">
        <v>934</v>
      </c>
      <c r="C203" s="150" t="s">
        <v>226</v>
      </c>
      <c r="D203" s="150" t="s">
        <v>215</v>
      </c>
      <c r="E203" s="150" t="s">
        <v>815</v>
      </c>
      <c r="F203" s="150" t="s">
        <v>268</v>
      </c>
      <c r="G203" s="149">
        <v>13290.03</v>
      </c>
      <c r="H203" s="149">
        <v>0</v>
      </c>
    </row>
    <row r="204" spans="1:8">
      <c r="A204" s="76" t="s">
        <v>1229</v>
      </c>
      <c r="B204" s="154">
        <v>934</v>
      </c>
      <c r="C204" s="150" t="s">
        <v>226</v>
      </c>
      <c r="D204" s="150" t="s">
        <v>215</v>
      </c>
      <c r="E204" s="96" t="s">
        <v>1230</v>
      </c>
      <c r="F204" s="150"/>
      <c r="G204" s="149">
        <f>G205</f>
        <v>122</v>
      </c>
      <c r="H204" s="149">
        <f>H205</f>
        <v>122</v>
      </c>
    </row>
    <row r="205" spans="1:8">
      <c r="A205" s="76" t="s">
        <v>271</v>
      </c>
      <c r="B205" s="154">
        <v>934</v>
      </c>
      <c r="C205" s="150" t="s">
        <v>226</v>
      </c>
      <c r="D205" s="150" t="s">
        <v>215</v>
      </c>
      <c r="E205" s="96" t="s">
        <v>1230</v>
      </c>
      <c r="F205" s="150" t="s">
        <v>268</v>
      </c>
      <c r="G205" s="149">
        <v>122</v>
      </c>
      <c r="H205" s="149">
        <f>G205</f>
        <v>122</v>
      </c>
    </row>
    <row r="206" spans="1:8">
      <c r="A206" s="80" t="s">
        <v>405</v>
      </c>
      <c r="B206" s="117" t="s">
        <v>203</v>
      </c>
      <c r="C206" s="117" t="s">
        <v>220</v>
      </c>
      <c r="D206" s="117"/>
      <c r="E206" s="117"/>
      <c r="F206" s="117"/>
      <c r="G206" s="123">
        <f>G207+G211+G230</f>
        <v>10567.56791</v>
      </c>
      <c r="H206" s="123">
        <f>H207+H211+H230</f>
        <v>5543.7</v>
      </c>
    </row>
    <row r="207" spans="1:8">
      <c r="A207" s="79" t="s">
        <v>231</v>
      </c>
      <c r="B207" s="243" t="s">
        <v>203</v>
      </c>
      <c r="C207" s="243" t="s">
        <v>220</v>
      </c>
      <c r="D207" s="243" t="s">
        <v>215</v>
      </c>
      <c r="E207" s="243"/>
      <c r="F207" s="243"/>
      <c r="G207" s="149">
        <f>G208</f>
        <v>4610.5679099999998</v>
      </c>
      <c r="H207" s="149">
        <f>H208</f>
        <v>0</v>
      </c>
    </row>
    <row r="208" spans="1:8">
      <c r="A208" s="76" t="s">
        <v>265</v>
      </c>
      <c r="B208" s="96">
        <v>934</v>
      </c>
      <c r="C208" s="96" t="s">
        <v>220</v>
      </c>
      <c r="D208" s="96" t="s">
        <v>215</v>
      </c>
      <c r="E208" s="96" t="s">
        <v>560</v>
      </c>
      <c r="F208" s="96" t="s">
        <v>264</v>
      </c>
      <c r="G208" s="109">
        <f>G209</f>
        <v>4610.5679099999998</v>
      </c>
      <c r="H208" s="109">
        <v>0</v>
      </c>
    </row>
    <row r="209" spans="1:8" ht="31.5">
      <c r="A209" s="76" t="s">
        <v>343</v>
      </c>
      <c r="B209" s="96">
        <v>934</v>
      </c>
      <c r="C209" s="96" t="s">
        <v>220</v>
      </c>
      <c r="D209" s="96" t="s">
        <v>215</v>
      </c>
      <c r="E209" s="96" t="s">
        <v>560</v>
      </c>
      <c r="F209" s="96" t="s">
        <v>341</v>
      </c>
      <c r="G209" s="109">
        <f>G210</f>
        <v>4610.5679099999998</v>
      </c>
      <c r="H209" s="109">
        <v>0</v>
      </c>
    </row>
    <row r="210" spans="1:8" ht="31.5">
      <c r="A210" s="76" t="s">
        <v>447</v>
      </c>
      <c r="B210" s="96">
        <v>934</v>
      </c>
      <c r="C210" s="96" t="s">
        <v>220</v>
      </c>
      <c r="D210" s="96" t="s">
        <v>215</v>
      </c>
      <c r="E210" s="96" t="s">
        <v>560</v>
      </c>
      <c r="F210" s="96" t="s">
        <v>354</v>
      </c>
      <c r="G210" s="109">
        <v>4610.5679099999998</v>
      </c>
      <c r="H210" s="109">
        <v>0</v>
      </c>
    </row>
    <row r="211" spans="1:8">
      <c r="A211" s="79" t="s">
        <v>403</v>
      </c>
      <c r="B211" s="106">
        <v>934</v>
      </c>
      <c r="C211" s="106" t="s">
        <v>220</v>
      </c>
      <c r="D211" s="106" t="s">
        <v>218</v>
      </c>
      <c r="E211" s="106"/>
      <c r="F211" s="106"/>
      <c r="G211" s="123">
        <f>G212+G219+G227+G224</f>
        <v>3199.6000000000004</v>
      </c>
      <c r="H211" s="123">
        <f>H212+H219+H227+H224</f>
        <v>2786.3</v>
      </c>
    </row>
    <row r="212" spans="1:8" ht="54" customHeight="1">
      <c r="A212" s="174" t="s">
        <v>891</v>
      </c>
      <c r="B212" s="175">
        <v>934</v>
      </c>
      <c r="C212" s="176" t="s">
        <v>220</v>
      </c>
      <c r="D212" s="176" t="s">
        <v>218</v>
      </c>
      <c r="E212" s="538" t="s">
        <v>618</v>
      </c>
      <c r="F212" s="176"/>
      <c r="G212" s="194">
        <f>G213</f>
        <v>2419.3000000000002</v>
      </c>
      <c r="H212" s="194">
        <f>H213</f>
        <v>2016</v>
      </c>
    </row>
    <row r="213" spans="1:8" ht="54" customHeight="1">
      <c r="A213" s="179" t="s">
        <v>892</v>
      </c>
      <c r="B213" s="180">
        <v>934</v>
      </c>
      <c r="C213" s="181" t="s">
        <v>220</v>
      </c>
      <c r="D213" s="181" t="s">
        <v>218</v>
      </c>
      <c r="E213" s="187" t="s">
        <v>991</v>
      </c>
      <c r="F213" s="181"/>
      <c r="G213" s="182">
        <f>G214</f>
        <v>2419.3000000000002</v>
      </c>
      <c r="H213" s="182">
        <f>H214</f>
        <v>2016</v>
      </c>
    </row>
    <row r="214" spans="1:8" ht="32.25" customHeight="1">
      <c r="A214" s="599" t="s">
        <v>990</v>
      </c>
      <c r="B214" s="345">
        <v>934</v>
      </c>
      <c r="C214" s="201" t="s">
        <v>220</v>
      </c>
      <c r="D214" s="201" t="s">
        <v>218</v>
      </c>
      <c r="E214" s="205" t="s">
        <v>991</v>
      </c>
      <c r="F214" s="201"/>
      <c r="G214" s="202">
        <f>G215+G217</f>
        <v>2419.3000000000002</v>
      </c>
      <c r="H214" s="202">
        <f>H215+H217</f>
        <v>2016</v>
      </c>
    </row>
    <row r="215" spans="1:8" ht="58.5" customHeight="1">
      <c r="A215" s="223" t="s">
        <v>793</v>
      </c>
      <c r="B215" s="98">
        <v>934</v>
      </c>
      <c r="C215" s="150" t="s">
        <v>220</v>
      </c>
      <c r="D215" s="150" t="s">
        <v>218</v>
      </c>
      <c r="E215" s="150" t="s">
        <v>617</v>
      </c>
      <c r="F215" s="201"/>
      <c r="G215" s="202">
        <f>G216</f>
        <v>2016</v>
      </c>
      <c r="H215" s="202">
        <f>H216</f>
        <v>2016</v>
      </c>
    </row>
    <row r="216" spans="1:8">
      <c r="A216" s="76" t="s">
        <v>344</v>
      </c>
      <c r="B216" s="98">
        <v>934</v>
      </c>
      <c r="C216" s="150" t="s">
        <v>220</v>
      </c>
      <c r="D216" s="150" t="s">
        <v>218</v>
      </c>
      <c r="E216" s="150" t="s">
        <v>617</v>
      </c>
      <c r="F216" s="96" t="s">
        <v>342</v>
      </c>
      <c r="G216" s="200">
        <f>2358.4-342.4</f>
        <v>2016</v>
      </c>
      <c r="H216" s="202">
        <f>G216</f>
        <v>2016</v>
      </c>
    </row>
    <row r="217" spans="1:8" ht="47.25">
      <c r="A217" s="223" t="s">
        <v>794</v>
      </c>
      <c r="B217" s="98">
        <v>934</v>
      </c>
      <c r="C217" s="159" t="s">
        <v>220</v>
      </c>
      <c r="D217" s="159" t="s">
        <v>218</v>
      </c>
      <c r="E217" s="150" t="s">
        <v>617</v>
      </c>
      <c r="F217" s="96"/>
      <c r="G217" s="200">
        <f>G218</f>
        <v>403.3</v>
      </c>
      <c r="H217" s="202">
        <v>0</v>
      </c>
    </row>
    <row r="218" spans="1:8">
      <c r="A218" s="76" t="s">
        <v>344</v>
      </c>
      <c r="B218" s="98">
        <v>934</v>
      </c>
      <c r="C218" s="159" t="s">
        <v>220</v>
      </c>
      <c r="D218" s="159" t="s">
        <v>218</v>
      </c>
      <c r="E218" s="150" t="s">
        <v>617</v>
      </c>
      <c r="F218" s="96" t="s">
        <v>342</v>
      </c>
      <c r="G218" s="109">
        <f>500-96.7</f>
        <v>403.3</v>
      </c>
      <c r="H218" s="109">
        <v>0</v>
      </c>
    </row>
    <row r="219" spans="1:8" ht="31.5">
      <c r="A219" s="174" t="s">
        <v>927</v>
      </c>
      <c r="B219" s="175">
        <v>934</v>
      </c>
      <c r="C219" s="176" t="s">
        <v>220</v>
      </c>
      <c r="D219" s="176" t="s">
        <v>218</v>
      </c>
      <c r="E219" s="176" t="s">
        <v>579</v>
      </c>
      <c r="F219" s="687"/>
      <c r="G219" s="194">
        <f>G220</f>
        <v>587</v>
      </c>
      <c r="H219" s="194">
        <f>H220</f>
        <v>587</v>
      </c>
    </row>
    <row r="220" spans="1:8">
      <c r="A220" s="174" t="s">
        <v>1015</v>
      </c>
      <c r="B220" s="175">
        <v>934</v>
      </c>
      <c r="C220" s="176" t="s">
        <v>220</v>
      </c>
      <c r="D220" s="176" t="s">
        <v>218</v>
      </c>
      <c r="E220" s="176" t="s">
        <v>579</v>
      </c>
      <c r="F220" s="687"/>
      <c r="G220" s="194">
        <f>G221</f>
        <v>587</v>
      </c>
      <c r="H220" s="194">
        <f>H221</f>
        <v>587</v>
      </c>
    </row>
    <row r="221" spans="1:8" ht="177.75" customHeight="1">
      <c r="A221" s="316" t="s">
        <v>809</v>
      </c>
      <c r="B221" s="95">
        <v>934</v>
      </c>
      <c r="C221" s="116" t="s">
        <v>220</v>
      </c>
      <c r="D221" s="116" t="s">
        <v>218</v>
      </c>
      <c r="E221" s="95" t="s">
        <v>433</v>
      </c>
      <c r="F221" s="116"/>
      <c r="G221" s="108">
        <f>G222+G223</f>
        <v>587</v>
      </c>
      <c r="H221" s="108">
        <f>H222+H223</f>
        <v>587</v>
      </c>
    </row>
    <row r="222" spans="1:8">
      <c r="A222" s="76" t="s">
        <v>271</v>
      </c>
      <c r="B222" s="96">
        <v>934</v>
      </c>
      <c r="C222" s="118" t="s">
        <v>220</v>
      </c>
      <c r="D222" s="118" t="s">
        <v>218</v>
      </c>
      <c r="E222" s="96" t="s">
        <v>433</v>
      </c>
      <c r="F222" s="118" t="s">
        <v>268</v>
      </c>
      <c r="G222" s="109">
        <v>384</v>
      </c>
      <c r="H222" s="109">
        <f>G222</f>
        <v>384</v>
      </c>
    </row>
    <row r="223" spans="1:8">
      <c r="A223" s="76" t="s">
        <v>350</v>
      </c>
      <c r="B223" s="96">
        <v>934</v>
      </c>
      <c r="C223" s="118" t="s">
        <v>220</v>
      </c>
      <c r="D223" s="118" t="s">
        <v>218</v>
      </c>
      <c r="E223" s="96" t="s">
        <v>433</v>
      </c>
      <c r="F223" s="118" t="s">
        <v>351</v>
      </c>
      <c r="G223" s="109">
        <v>203</v>
      </c>
      <c r="H223" s="109">
        <f>G223</f>
        <v>203</v>
      </c>
    </row>
    <row r="224" spans="1:8" ht="52.5" customHeight="1">
      <c r="A224" s="189" t="s">
        <v>900</v>
      </c>
      <c r="B224" s="187" t="s">
        <v>203</v>
      </c>
      <c r="C224" s="686" t="s">
        <v>220</v>
      </c>
      <c r="D224" s="686" t="s">
        <v>218</v>
      </c>
      <c r="E224" s="187" t="s">
        <v>1216</v>
      </c>
      <c r="F224" s="686"/>
      <c r="G224" s="195">
        <f>G225</f>
        <v>183.3</v>
      </c>
      <c r="H224" s="195">
        <f>H225</f>
        <v>183.3</v>
      </c>
    </row>
    <row r="225" spans="1:8" ht="235.5" customHeight="1">
      <c r="A225" s="316" t="s">
        <v>809</v>
      </c>
      <c r="B225" s="96"/>
      <c r="C225" s="118" t="s">
        <v>220</v>
      </c>
      <c r="D225" s="118" t="s">
        <v>218</v>
      </c>
      <c r="E225" s="96" t="s">
        <v>1216</v>
      </c>
      <c r="F225" s="118"/>
      <c r="G225" s="109">
        <f>G226</f>
        <v>183.3</v>
      </c>
      <c r="H225" s="109">
        <f>H226</f>
        <v>183.3</v>
      </c>
    </row>
    <row r="226" spans="1:8" ht="33" customHeight="1">
      <c r="A226" s="76" t="s">
        <v>350</v>
      </c>
      <c r="B226" s="96"/>
      <c r="C226" s="118" t="s">
        <v>220</v>
      </c>
      <c r="D226" s="118" t="s">
        <v>218</v>
      </c>
      <c r="E226" s="96" t="s">
        <v>1216</v>
      </c>
      <c r="F226" s="118" t="s">
        <v>351</v>
      </c>
      <c r="G226" s="109">
        <v>183.3</v>
      </c>
      <c r="H226" s="109">
        <f>G226</f>
        <v>183.3</v>
      </c>
    </row>
    <row r="227" spans="1:8" ht="31.5">
      <c r="A227" s="188" t="s">
        <v>882</v>
      </c>
      <c r="B227" s="176" t="s">
        <v>203</v>
      </c>
      <c r="C227" s="176" t="s">
        <v>220</v>
      </c>
      <c r="D227" s="176" t="s">
        <v>218</v>
      </c>
      <c r="E227" s="185" t="s">
        <v>994</v>
      </c>
      <c r="F227" s="175"/>
      <c r="G227" s="178">
        <f>G228</f>
        <v>10</v>
      </c>
      <c r="H227" s="178">
        <f>H228</f>
        <v>0</v>
      </c>
    </row>
    <row r="228" spans="1:8">
      <c r="A228" s="188" t="s">
        <v>1018</v>
      </c>
      <c r="B228" s="176" t="s">
        <v>203</v>
      </c>
      <c r="C228" s="176" t="s">
        <v>220</v>
      </c>
      <c r="D228" s="176" t="s">
        <v>218</v>
      </c>
      <c r="E228" s="185" t="s">
        <v>995</v>
      </c>
      <c r="F228" s="175"/>
      <c r="G228" s="178">
        <f>G229</f>
        <v>10</v>
      </c>
      <c r="H228" s="178">
        <f>H229</f>
        <v>0</v>
      </c>
    </row>
    <row r="229" spans="1:8" ht="31.5">
      <c r="A229" s="209" t="s">
        <v>275</v>
      </c>
      <c r="B229" s="205" t="s">
        <v>203</v>
      </c>
      <c r="C229" s="118" t="s">
        <v>220</v>
      </c>
      <c r="D229" s="118" t="s">
        <v>218</v>
      </c>
      <c r="E229" s="205" t="s">
        <v>996</v>
      </c>
      <c r="F229" s="346">
        <v>244</v>
      </c>
      <c r="G229" s="200">
        <v>10</v>
      </c>
      <c r="H229" s="491">
        <v>0</v>
      </c>
    </row>
    <row r="230" spans="1:8" s="92" customFormat="1">
      <c r="A230" s="79" t="s">
        <v>404</v>
      </c>
      <c r="B230" s="106">
        <v>934</v>
      </c>
      <c r="C230" s="106" t="s">
        <v>220</v>
      </c>
      <c r="D230" s="106" t="s">
        <v>221</v>
      </c>
      <c r="E230" s="106"/>
      <c r="F230" s="106"/>
      <c r="G230" s="107">
        <f>G235+G231</f>
        <v>2757.3999999999996</v>
      </c>
      <c r="H230" s="107">
        <f>H235+H231</f>
        <v>2757.3999999999996</v>
      </c>
    </row>
    <row r="231" spans="1:8" s="161" customFormat="1" ht="47.25">
      <c r="A231" s="158" t="s">
        <v>186</v>
      </c>
      <c r="B231" s="150">
        <v>934</v>
      </c>
      <c r="C231" s="159" t="s">
        <v>220</v>
      </c>
      <c r="D231" s="159" t="s">
        <v>221</v>
      </c>
      <c r="E231" s="159" t="s">
        <v>561</v>
      </c>
      <c r="F231" s="159"/>
      <c r="G231" s="122">
        <f>G232+G233+G234</f>
        <v>1378.7</v>
      </c>
      <c r="H231" s="122">
        <f>H232+H233+H234</f>
        <v>1378.7</v>
      </c>
    </row>
    <row r="232" spans="1:8" s="92" customFormat="1">
      <c r="A232" s="76" t="s">
        <v>429</v>
      </c>
      <c r="B232" s="96">
        <v>934</v>
      </c>
      <c r="C232" s="96" t="s">
        <v>220</v>
      </c>
      <c r="D232" s="96" t="s">
        <v>221</v>
      </c>
      <c r="E232" s="150" t="s">
        <v>561</v>
      </c>
      <c r="F232" s="96" t="s">
        <v>412</v>
      </c>
      <c r="G232" s="109">
        <f>550.99267+22.043+368.51+26.88172</f>
        <v>968.42738999999995</v>
      </c>
      <c r="H232" s="109">
        <f>G232</f>
        <v>968.42738999999995</v>
      </c>
    </row>
    <row r="233" spans="1:8" s="92" customFormat="1" ht="47.25">
      <c r="A233" s="196" t="s">
        <v>430</v>
      </c>
      <c r="B233" s="96">
        <v>934</v>
      </c>
      <c r="C233" s="96" t="s">
        <v>220</v>
      </c>
      <c r="D233" s="96" t="s">
        <v>221</v>
      </c>
      <c r="E233" s="150" t="s">
        <v>561</v>
      </c>
      <c r="F233" s="96" t="s">
        <v>431</v>
      </c>
      <c r="G233" s="109">
        <f>166.40133+6.657+111.29+8.11828</f>
        <v>292.46661000000006</v>
      </c>
      <c r="H233" s="109">
        <f>G233</f>
        <v>292.46661000000006</v>
      </c>
    </row>
    <row r="234" spans="1:8" s="92" customFormat="1" ht="31.5">
      <c r="A234" s="153" t="s">
        <v>275</v>
      </c>
      <c r="B234" s="96">
        <v>934</v>
      </c>
      <c r="C234" s="96" t="s">
        <v>220</v>
      </c>
      <c r="D234" s="96" t="s">
        <v>221</v>
      </c>
      <c r="E234" s="150" t="s">
        <v>561</v>
      </c>
      <c r="F234" s="96" t="s">
        <v>413</v>
      </c>
      <c r="G234" s="109">
        <f>64.286+53.52</f>
        <v>117.80600000000001</v>
      </c>
      <c r="H234" s="109">
        <f>G234</f>
        <v>117.80600000000001</v>
      </c>
    </row>
    <row r="235" spans="1:8" ht="47.25">
      <c r="A235" s="77" t="s">
        <v>185</v>
      </c>
      <c r="B235" s="96">
        <v>934</v>
      </c>
      <c r="C235" s="95" t="s">
        <v>220</v>
      </c>
      <c r="D235" s="95" t="s">
        <v>221</v>
      </c>
      <c r="E235" s="95" t="s">
        <v>562</v>
      </c>
      <c r="F235" s="95"/>
      <c r="G235" s="108">
        <f>G236+G237+G238+G239</f>
        <v>1378.6999999999998</v>
      </c>
      <c r="H235" s="108">
        <f>H236+H237+H238+H239</f>
        <v>1378.6999999999998</v>
      </c>
    </row>
    <row r="236" spans="1:8" s="90" customFormat="1">
      <c r="A236" s="76" t="s">
        <v>429</v>
      </c>
      <c r="B236" s="96">
        <v>934</v>
      </c>
      <c r="C236" s="96" t="s">
        <v>220</v>
      </c>
      <c r="D236" s="96" t="s">
        <v>221</v>
      </c>
      <c r="E236" s="96" t="s">
        <v>562</v>
      </c>
      <c r="F236" s="96" t="s">
        <v>412</v>
      </c>
      <c r="G236" s="109">
        <f>859.6005+37.02+26.88172</f>
        <v>923.50221999999997</v>
      </c>
      <c r="H236" s="109">
        <f>G236</f>
        <v>923.50221999999997</v>
      </c>
    </row>
    <row r="237" spans="1:8" ht="31.5">
      <c r="A237" s="76" t="s">
        <v>15</v>
      </c>
      <c r="B237" s="96">
        <v>934</v>
      </c>
      <c r="C237" s="96" t="s">
        <v>220</v>
      </c>
      <c r="D237" s="96" t="s">
        <v>221</v>
      </c>
      <c r="E237" s="96" t="s">
        <v>562</v>
      </c>
      <c r="F237" s="96" t="s">
        <v>417</v>
      </c>
      <c r="G237" s="109">
        <v>24.2</v>
      </c>
      <c r="H237" s="109">
        <f>G237</f>
        <v>24.2</v>
      </c>
    </row>
    <row r="238" spans="1:8" ht="47.25">
      <c r="A238" s="196" t="s">
        <v>430</v>
      </c>
      <c r="B238" s="96">
        <v>934</v>
      </c>
      <c r="C238" s="96" t="s">
        <v>220</v>
      </c>
      <c r="D238" s="96" t="s">
        <v>221</v>
      </c>
      <c r="E238" s="96" t="s">
        <v>562</v>
      </c>
      <c r="F238" s="96" t="s">
        <v>431</v>
      </c>
      <c r="G238" s="109">
        <f>259.5995+11.18+8.11828</f>
        <v>278.89778000000001</v>
      </c>
      <c r="H238" s="109">
        <f>G238</f>
        <v>278.89778000000001</v>
      </c>
    </row>
    <row r="239" spans="1:8" ht="31.5">
      <c r="A239" s="153" t="s">
        <v>275</v>
      </c>
      <c r="B239" s="96">
        <v>934</v>
      </c>
      <c r="C239" s="96" t="s">
        <v>220</v>
      </c>
      <c r="D239" s="96" t="s">
        <v>221</v>
      </c>
      <c r="E239" s="96" t="s">
        <v>562</v>
      </c>
      <c r="F239" s="96" t="s">
        <v>413</v>
      </c>
      <c r="G239" s="109">
        <v>152.1</v>
      </c>
      <c r="H239" s="109">
        <f>G239</f>
        <v>152.1</v>
      </c>
    </row>
    <row r="240" spans="1:8">
      <c r="A240" s="80" t="s">
        <v>402</v>
      </c>
      <c r="B240" s="103">
        <v>934</v>
      </c>
      <c r="C240" s="103" t="s">
        <v>223</v>
      </c>
      <c r="D240" s="103"/>
      <c r="E240" s="103"/>
      <c r="F240" s="103"/>
      <c r="G240" s="104">
        <f>G241+G246+G253</f>
        <v>18626.572560000001</v>
      </c>
      <c r="H240" s="104">
        <f>H241+H246+H253</f>
        <v>8376.3000000000011</v>
      </c>
    </row>
    <row r="241" spans="1:8">
      <c r="A241" s="79" t="s">
        <v>345</v>
      </c>
      <c r="B241" s="103">
        <v>934</v>
      </c>
      <c r="C241" s="106" t="s">
        <v>223</v>
      </c>
      <c r="D241" s="106" t="s">
        <v>215</v>
      </c>
      <c r="E241" s="106"/>
      <c r="F241" s="106"/>
      <c r="G241" s="107">
        <f>G242</f>
        <v>1037.9627</v>
      </c>
      <c r="H241" s="107">
        <f>H242</f>
        <v>0</v>
      </c>
    </row>
    <row r="242" spans="1:8" ht="31.5">
      <c r="A242" s="174" t="s">
        <v>900</v>
      </c>
      <c r="B242" s="185" t="s">
        <v>203</v>
      </c>
      <c r="C242" s="176" t="s">
        <v>223</v>
      </c>
      <c r="D242" s="176" t="s">
        <v>215</v>
      </c>
      <c r="E242" s="176" t="s">
        <v>621</v>
      </c>
      <c r="F242" s="176"/>
      <c r="G242" s="178">
        <f>G243</f>
        <v>1037.9627</v>
      </c>
      <c r="H242" s="178">
        <f>H243</f>
        <v>0</v>
      </c>
    </row>
    <row r="243" spans="1:8" ht="31.5">
      <c r="A243" s="174" t="s">
        <v>1019</v>
      </c>
      <c r="B243" s="185" t="s">
        <v>203</v>
      </c>
      <c r="C243" s="176" t="s">
        <v>223</v>
      </c>
      <c r="D243" s="176" t="s">
        <v>215</v>
      </c>
      <c r="E243" s="176" t="s">
        <v>621</v>
      </c>
      <c r="F243" s="176"/>
      <c r="G243" s="178">
        <f>G244+G245</f>
        <v>1037.9627</v>
      </c>
      <c r="H243" s="178">
        <f>H244+H245</f>
        <v>0</v>
      </c>
    </row>
    <row r="244" spans="1:8" ht="31.5">
      <c r="A244" s="153" t="s">
        <v>275</v>
      </c>
      <c r="B244" s="96">
        <v>934</v>
      </c>
      <c r="C244" s="96" t="s">
        <v>223</v>
      </c>
      <c r="D244" s="96" t="s">
        <v>215</v>
      </c>
      <c r="E244" s="150" t="s">
        <v>563</v>
      </c>
      <c r="F244" s="96" t="s">
        <v>413</v>
      </c>
      <c r="G244" s="109">
        <f>150+737.9627</f>
        <v>887.96270000000004</v>
      </c>
      <c r="H244" s="109">
        <v>0</v>
      </c>
    </row>
    <row r="245" spans="1:8">
      <c r="A245" s="617" t="s">
        <v>736</v>
      </c>
      <c r="B245" s="96">
        <v>934</v>
      </c>
      <c r="C245" s="96" t="s">
        <v>223</v>
      </c>
      <c r="D245" s="96" t="s">
        <v>215</v>
      </c>
      <c r="E245" s="150" t="s">
        <v>563</v>
      </c>
      <c r="F245" s="96" t="s">
        <v>735</v>
      </c>
      <c r="G245" s="109">
        <v>150</v>
      </c>
      <c r="H245" s="109">
        <v>0</v>
      </c>
    </row>
    <row r="246" spans="1:8">
      <c r="A246" s="79" t="s">
        <v>261</v>
      </c>
      <c r="B246" s="103">
        <v>934</v>
      </c>
      <c r="C246" s="106" t="s">
        <v>223</v>
      </c>
      <c r="D246" s="106" t="s">
        <v>216</v>
      </c>
      <c r="E246" s="106"/>
      <c r="F246" s="106"/>
      <c r="G246" s="107">
        <f>G250+G247</f>
        <v>1559.92</v>
      </c>
      <c r="H246" s="107">
        <f>H250+H247</f>
        <v>631.1</v>
      </c>
    </row>
    <row r="247" spans="1:8">
      <c r="A247" s="77" t="s">
        <v>106</v>
      </c>
      <c r="B247" s="95">
        <v>934</v>
      </c>
      <c r="C247" s="95" t="s">
        <v>223</v>
      </c>
      <c r="D247" s="95" t="s">
        <v>216</v>
      </c>
      <c r="E247" s="95"/>
      <c r="F247" s="95"/>
      <c r="G247" s="109">
        <f>G248+G249</f>
        <v>631.1</v>
      </c>
      <c r="H247" s="109">
        <f>H248+H249</f>
        <v>631.1</v>
      </c>
    </row>
    <row r="248" spans="1:8">
      <c r="A248" s="76" t="s">
        <v>650</v>
      </c>
      <c r="B248" s="96" t="s">
        <v>203</v>
      </c>
      <c r="C248" s="96" t="s">
        <v>223</v>
      </c>
      <c r="D248" s="96" t="s">
        <v>216</v>
      </c>
      <c r="E248" s="96" t="s">
        <v>564</v>
      </c>
      <c r="F248" s="96" t="s">
        <v>438</v>
      </c>
      <c r="G248" s="109">
        <v>484.71582000000001</v>
      </c>
      <c r="H248" s="109">
        <f>G248</f>
        <v>484.71582000000001</v>
      </c>
    </row>
    <row r="249" spans="1:8" ht="47.25">
      <c r="A249" s="590" t="s">
        <v>651</v>
      </c>
      <c r="B249" s="96" t="s">
        <v>203</v>
      </c>
      <c r="C249" s="96" t="s">
        <v>223</v>
      </c>
      <c r="D249" s="96" t="s">
        <v>216</v>
      </c>
      <c r="E249" s="96" t="s">
        <v>564</v>
      </c>
      <c r="F249" s="96" t="s">
        <v>440</v>
      </c>
      <c r="G249" s="109">
        <v>146.38417999999999</v>
      </c>
      <c r="H249" s="109">
        <f>G249</f>
        <v>146.38417999999999</v>
      </c>
    </row>
    <row r="250" spans="1:8" ht="31.5">
      <c r="A250" s="77" t="s">
        <v>390</v>
      </c>
      <c r="B250" s="96">
        <v>934</v>
      </c>
      <c r="C250" s="95" t="s">
        <v>223</v>
      </c>
      <c r="D250" s="95" t="s">
        <v>216</v>
      </c>
      <c r="E250" s="95"/>
      <c r="F250" s="95"/>
      <c r="G250" s="108">
        <f>G251+G252</f>
        <v>928.81999999999994</v>
      </c>
      <c r="H250" s="108">
        <f>H251+H252</f>
        <v>0</v>
      </c>
    </row>
    <row r="251" spans="1:8">
      <c r="A251" s="76" t="s">
        <v>650</v>
      </c>
      <c r="B251" s="96">
        <v>934</v>
      </c>
      <c r="C251" s="96" t="s">
        <v>223</v>
      </c>
      <c r="D251" s="96" t="s">
        <v>216</v>
      </c>
      <c r="E251" s="96" t="s">
        <v>564</v>
      </c>
      <c r="F251" s="96" t="s">
        <v>438</v>
      </c>
      <c r="G251" s="109">
        <v>713.37941999999998</v>
      </c>
      <c r="H251" s="109">
        <f>H252</f>
        <v>0</v>
      </c>
    </row>
    <row r="252" spans="1:8" ht="47.25">
      <c r="A252" s="590" t="s">
        <v>651</v>
      </c>
      <c r="B252" s="96">
        <v>934</v>
      </c>
      <c r="C252" s="96" t="s">
        <v>223</v>
      </c>
      <c r="D252" s="96" t="s">
        <v>216</v>
      </c>
      <c r="E252" s="96" t="s">
        <v>564</v>
      </c>
      <c r="F252" s="96" t="s">
        <v>440</v>
      </c>
      <c r="G252" s="109">
        <v>215.44058000000001</v>
      </c>
      <c r="H252" s="109">
        <v>0</v>
      </c>
    </row>
    <row r="253" spans="1:8">
      <c r="A253" s="652" t="s">
        <v>819</v>
      </c>
      <c r="B253" s="103">
        <v>934</v>
      </c>
      <c r="C253" s="103" t="s">
        <v>223</v>
      </c>
      <c r="D253" s="103" t="s">
        <v>218</v>
      </c>
      <c r="E253" s="341"/>
      <c r="F253" s="103"/>
      <c r="G253" s="104">
        <f>G254</f>
        <v>16028.68986</v>
      </c>
      <c r="H253" s="104">
        <f>H254</f>
        <v>7745.2000000000007</v>
      </c>
    </row>
    <row r="254" spans="1:8" ht="31.5">
      <c r="A254" s="174" t="s">
        <v>926</v>
      </c>
      <c r="B254" s="185" t="s">
        <v>203</v>
      </c>
      <c r="C254" s="176" t="s">
        <v>223</v>
      </c>
      <c r="D254" s="176" t="s">
        <v>218</v>
      </c>
      <c r="E254" s="176" t="s">
        <v>621</v>
      </c>
      <c r="F254" s="690"/>
      <c r="G254" s="486">
        <f>G255</f>
        <v>16028.68986</v>
      </c>
      <c r="H254" s="486">
        <f>H255</f>
        <v>7745.2000000000007</v>
      </c>
    </row>
    <row r="255" spans="1:8" ht="31.5">
      <c r="A255" s="174" t="s">
        <v>1019</v>
      </c>
      <c r="B255" s="185" t="s">
        <v>203</v>
      </c>
      <c r="C255" s="176" t="s">
        <v>223</v>
      </c>
      <c r="D255" s="176" t="s">
        <v>215</v>
      </c>
      <c r="E255" s="176" t="s">
        <v>621</v>
      </c>
      <c r="F255" s="176"/>
      <c r="G255" s="486">
        <f>G256+G257+G259</f>
        <v>16028.68986</v>
      </c>
      <c r="H255" s="486">
        <f>H256+H257+H259</f>
        <v>7745.2000000000007</v>
      </c>
    </row>
    <row r="256" spans="1:8">
      <c r="A256" s="76" t="s">
        <v>350</v>
      </c>
      <c r="B256" s="96">
        <v>934</v>
      </c>
      <c r="C256" s="96" t="s">
        <v>223</v>
      </c>
      <c r="D256" s="96" t="s">
        <v>218</v>
      </c>
      <c r="E256" s="150" t="s">
        <v>563</v>
      </c>
      <c r="F256" s="96" t="s">
        <v>351</v>
      </c>
      <c r="G256" s="109">
        <f>4378.40986+52</f>
        <v>4430.4098599999998</v>
      </c>
      <c r="H256" s="109">
        <v>0</v>
      </c>
    </row>
    <row r="257" spans="1:8" ht="31.5">
      <c r="A257" s="77" t="s">
        <v>795</v>
      </c>
      <c r="B257" s="95">
        <v>934</v>
      </c>
      <c r="C257" s="95" t="s">
        <v>223</v>
      </c>
      <c r="D257" s="95" t="s">
        <v>218</v>
      </c>
      <c r="E257" s="635" t="s">
        <v>798</v>
      </c>
      <c r="F257" s="96"/>
      <c r="G257" s="109">
        <f>G258</f>
        <v>7745.2000000000007</v>
      </c>
      <c r="H257" s="109">
        <f>H258</f>
        <v>7745.2000000000007</v>
      </c>
    </row>
    <row r="258" spans="1:8" ht="47.25">
      <c r="A258" s="76" t="s">
        <v>349</v>
      </c>
      <c r="B258" s="96">
        <v>934</v>
      </c>
      <c r="C258" s="96" t="s">
        <v>223</v>
      </c>
      <c r="D258" s="96" t="s">
        <v>218</v>
      </c>
      <c r="E258" s="636" t="s">
        <v>798</v>
      </c>
      <c r="F258" s="96" t="s">
        <v>421</v>
      </c>
      <c r="G258" s="109">
        <f>7519.6+225.6</f>
        <v>7745.2000000000007</v>
      </c>
      <c r="H258" s="109">
        <f>G258</f>
        <v>7745.2000000000007</v>
      </c>
    </row>
    <row r="259" spans="1:8" ht="31.5">
      <c r="A259" s="77" t="s">
        <v>810</v>
      </c>
      <c r="B259" s="95">
        <v>934</v>
      </c>
      <c r="C259" s="95" t="s">
        <v>223</v>
      </c>
      <c r="D259" s="96" t="s">
        <v>218</v>
      </c>
      <c r="E259" s="635" t="s">
        <v>798</v>
      </c>
      <c r="F259" s="95"/>
      <c r="G259" s="108">
        <f>G260</f>
        <v>3853.08</v>
      </c>
      <c r="H259" s="108">
        <f>H260</f>
        <v>0</v>
      </c>
    </row>
    <row r="260" spans="1:8" ht="47.25">
      <c r="A260" s="76" t="s">
        <v>349</v>
      </c>
      <c r="B260" s="96">
        <v>934</v>
      </c>
      <c r="C260" s="96" t="s">
        <v>223</v>
      </c>
      <c r="D260" s="96" t="s">
        <v>218</v>
      </c>
      <c r="E260" s="636" t="s">
        <v>798</v>
      </c>
      <c r="F260" s="96" t="s">
        <v>421</v>
      </c>
      <c r="G260" s="109">
        <v>3853.08</v>
      </c>
      <c r="H260" s="109">
        <v>0</v>
      </c>
    </row>
    <row r="261" spans="1:8" s="92" customFormat="1">
      <c r="A261" s="80" t="s">
        <v>346</v>
      </c>
      <c r="B261" s="103">
        <v>934</v>
      </c>
      <c r="C261" s="103" t="s">
        <v>222</v>
      </c>
      <c r="D261" s="103"/>
      <c r="E261" s="114"/>
      <c r="F261" s="103"/>
      <c r="G261" s="104">
        <f t="shared" ref="G261:H261" si="9">G262</f>
        <v>678.84</v>
      </c>
      <c r="H261" s="104">
        <f t="shared" si="9"/>
        <v>0</v>
      </c>
    </row>
    <row r="262" spans="1:8" s="91" customFormat="1">
      <c r="A262" s="79" t="s">
        <v>240</v>
      </c>
      <c r="B262" s="103">
        <v>934</v>
      </c>
      <c r="C262" s="106" t="s">
        <v>222</v>
      </c>
      <c r="D262" s="106" t="s">
        <v>216</v>
      </c>
      <c r="E262" s="106"/>
      <c r="F262" s="106"/>
      <c r="G262" s="107">
        <f>G264</f>
        <v>678.84</v>
      </c>
      <c r="H262" s="107">
        <f>H264</f>
        <v>0</v>
      </c>
    </row>
    <row r="263" spans="1:8" s="91" customFormat="1" ht="54.75" customHeight="1">
      <c r="A263" s="691" t="s">
        <v>895</v>
      </c>
      <c r="B263" s="185">
        <v>934</v>
      </c>
      <c r="C263" s="176" t="s">
        <v>222</v>
      </c>
      <c r="D263" s="176" t="s">
        <v>216</v>
      </c>
      <c r="E263" s="184" t="s">
        <v>566</v>
      </c>
      <c r="F263" s="184"/>
      <c r="G263" s="186">
        <f t="shared" ref="G263:H265" si="10">G264</f>
        <v>678.84</v>
      </c>
      <c r="H263" s="186">
        <f t="shared" si="10"/>
        <v>0</v>
      </c>
    </row>
    <row r="264" spans="1:8" s="90" customFormat="1" ht="31.5">
      <c r="A264" s="189" t="s">
        <v>1117</v>
      </c>
      <c r="B264" s="185">
        <v>934</v>
      </c>
      <c r="C264" s="176" t="s">
        <v>222</v>
      </c>
      <c r="D264" s="176" t="s">
        <v>216</v>
      </c>
      <c r="E264" s="185" t="s">
        <v>531</v>
      </c>
      <c r="F264" s="176"/>
      <c r="G264" s="178">
        <f t="shared" si="10"/>
        <v>678.84</v>
      </c>
      <c r="H264" s="178">
        <f t="shared" si="10"/>
        <v>0</v>
      </c>
    </row>
    <row r="265" spans="1:8" s="90" customFormat="1" ht="31.5">
      <c r="A265" s="223" t="s">
        <v>1118</v>
      </c>
      <c r="B265" s="185" t="s">
        <v>203</v>
      </c>
      <c r="C265" s="176" t="s">
        <v>222</v>
      </c>
      <c r="D265" s="176" t="s">
        <v>216</v>
      </c>
      <c r="E265" s="96" t="s">
        <v>531</v>
      </c>
      <c r="F265" s="176"/>
      <c r="G265" s="178">
        <f t="shared" si="10"/>
        <v>678.84</v>
      </c>
      <c r="H265" s="178">
        <f t="shared" si="10"/>
        <v>0</v>
      </c>
    </row>
    <row r="266" spans="1:8" ht="47.25">
      <c r="A266" s="76" t="s">
        <v>349</v>
      </c>
      <c r="B266" s="96">
        <v>934</v>
      </c>
      <c r="C266" s="96" t="s">
        <v>222</v>
      </c>
      <c r="D266" s="96" t="s">
        <v>216</v>
      </c>
      <c r="E266" s="96" t="s">
        <v>531</v>
      </c>
      <c r="F266" s="96" t="s">
        <v>421</v>
      </c>
      <c r="G266" s="109">
        <v>678.84</v>
      </c>
      <c r="H266" s="109">
        <v>0</v>
      </c>
    </row>
    <row r="267" spans="1:8" ht="47.25">
      <c r="A267" s="80" t="s">
        <v>158</v>
      </c>
      <c r="B267" s="103">
        <v>934</v>
      </c>
      <c r="C267" s="103" t="s">
        <v>228</v>
      </c>
      <c r="D267" s="103"/>
      <c r="E267" s="103"/>
      <c r="F267" s="103"/>
      <c r="G267" s="104">
        <f>G268</f>
        <v>14583.243799999998</v>
      </c>
      <c r="H267" s="104">
        <f>H268</f>
        <v>10919.8</v>
      </c>
    </row>
    <row r="268" spans="1:8" s="92" customFormat="1">
      <c r="A268" s="79" t="s">
        <v>78</v>
      </c>
      <c r="B268" s="106" t="s">
        <v>203</v>
      </c>
      <c r="C268" s="106" t="s">
        <v>228</v>
      </c>
      <c r="D268" s="106" t="s">
        <v>218</v>
      </c>
      <c r="E268" s="106"/>
      <c r="F268" s="106"/>
      <c r="G268" s="107">
        <f>G269+G273+G278+G282+G280+G286</f>
        <v>14583.243799999998</v>
      </c>
      <c r="H268" s="107">
        <f>H269+H273+H278+H282+H280+H286</f>
        <v>10919.8</v>
      </c>
    </row>
    <row r="269" spans="1:8" ht="54.75" customHeight="1">
      <c r="A269" s="650" t="s">
        <v>895</v>
      </c>
      <c r="B269" s="176">
        <v>934</v>
      </c>
      <c r="C269" s="176" t="s">
        <v>228</v>
      </c>
      <c r="D269" s="176" t="s">
        <v>218</v>
      </c>
      <c r="E269" s="176" t="s">
        <v>566</v>
      </c>
      <c r="F269" s="176"/>
      <c r="G269" s="178">
        <f>G270</f>
        <v>1000</v>
      </c>
      <c r="H269" s="178">
        <f>H270</f>
        <v>0</v>
      </c>
    </row>
    <row r="270" spans="1:8" ht="37.5" customHeight="1">
      <c r="A270" s="179" t="s">
        <v>897</v>
      </c>
      <c r="B270" s="187">
        <v>934</v>
      </c>
      <c r="C270" s="187" t="s">
        <v>228</v>
      </c>
      <c r="D270" s="187" t="s">
        <v>218</v>
      </c>
      <c r="E270" s="187" t="s">
        <v>523</v>
      </c>
      <c r="F270" s="187"/>
      <c r="G270" s="195">
        <f>G272</f>
        <v>1000</v>
      </c>
      <c r="H270" s="195">
        <f>H272</f>
        <v>0</v>
      </c>
    </row>
    <row r="271" spans="1:8" ht="37.5" customHeight="1">
      <c r="A271" s="76" t="s">
        <v>1020</v>
      </c>
      <c r="B271" s="96">
        <v>934</v>
      </c>
      <c r="C271" s="96" t="s">
        <v>228</v>
      </c>
      <c r="D271" s="96" t="s">
        <v>218</v>
      </c>
      <c r="E271" s="96" t="s">
        <v>997</v>
      </c>
      <c r="F271" s="150"/>
      <c r="G271" s="149">
        <f>G272</f>
        <v>1000</v>
      </c>
      <c r="H271" s="149"/>
    </row>
    <row r="272" spans="1:8" ht="24" customHeight="1">
      <c r="A272" s="76" t="s">
        <v>411</v>
      </c>
      <c r="B272" s="96">
        <v>934</v>
      </c>
      <c r="C272" s="96" t="s">
        <v>228</v>
      </c>
      <c r="D272" s="96" t="s">
        <v>218</v>
      </c>
      <c r="E272" s="96" t="s">
        <v>998</v>
      </c>
      <c r="F272" s="96" t="s">
        <v>422</v>
      </c>
      <c r="G272" s="109">
        <f>700+300</f>
        <v>1000</v>
      </c>
      <c r="H272" s="109">
        <v>0</v>
      </c>
    </row>
    <row r="273" spans="1:9" s="91" customFormat="1" ht="79.5" customHeight="1">
      <c r="A273" s="670" t="s">
        <v>901</v>
      </c>
      <c r="B273" s="671">
        <v>934</v>
      </c>
      <c r="C273" s="671">
        <v>14</v>
      </c>
      <c r="D273" s="672" t="s">
        <v>218</v>
      </c>
      <c r="E273" s="672" t="s">
        <v>869</v>
      </c>
      <c r="F273" s="671"/>
      <c r="G273" s="673">
        <f>G274</f>
        <v>100.6808</v>
      </c>
      <c r="H273" s="194">
        <f>H274</f>
        <v>0</v>
      </c>
    </row>
    <row r="274" spans="1:9" s="91" customFormat="1">
      <c r="A274" s="540" t="s">
        <v>1021</v>
      </c>
      <c r="B274" s="502">
        <v>934</v>
      </c>
      <c r="C274" s="502">
        <v>14</v>
      </c>
      <c r="D274" s="541" t="s">
        <v>218</v>
      </c>
      <c r="E274" s="150" t="s">
        <v>869</v>
      </c>
      <c r="F274" s="502"/>
      <c r="G274" s="574">
        <f>G275</f>
        <v>100.6808</v>
      </c>
      <c r="H274" s="109">
        <f>H275</f>
        <v>0</v>
      </c>
    </row>
    <row r="275" spans="1:9" s="91" customFormat="1">
      <c r="A275" s="540" t="s">
        <v>411</v>
      </c>
      <c r="B275" s="502">
        <v>934</v>
      </c>
      <c r="C275" s="502">
        <v>14</v>
      </c>
      <c r="D275" s="541" t="s">
        <v>218</v>
      </c>
      <c r="E275" s="150" t="s">
        <v>869</v>
      </c>
      <c r="F275" s="502">
        <v>540</v>
      </c>
      <c r="G275" s="574">
        <f>2368.989-2358.92092+90.61272</f>
        <v>100.6808</v>
      </c>
      <c r="H275" s="109">
        <v>0</v>
      </c>
    </row>
    <row r="276" spans="1:9" s="91" customFormat="1" ht="31.5">
      <c r="A276" s="193" t="s">
        <v>771</v>
      </c>
      <c r="B276" s="671">
        <v>934</v>
      </c>
      <c r="C276" s="671">
        <v>14</v>
      </c>
      <c r="D276" s="672" t="s">
        <v>218</v>
      </c>
      <c r="E276" s="185" t="s">
        <v>688</v>
      </c>
      <c r="F276" s="671"/>
      <c r="G276" s="673">
        <f>G278+G280</f>
        <v>10930.719799999999</v>
      </c>
      <c r="H276" s="673">
        <f>H278+H280</f>
        <v>10919.8</v>
      </c>
    </row>
    <row r="277" spans="1:9" s="91" customFormat="1" ht="47.25">
      <c r="A277" s="193" t="s">
        <v>1022</v>
      </c>
      <c r="B277" s="671">
        <v>934</v>
      </c>
      <c r="C277" s="671">
        <v>14</v>
      </c>
      <c r="D277" s="672" t="s">
        <v>218</v>
      </c>
      <c r="E277" s="185" t="s">
        <v>688</v>
      </c>
      <c r="F277" s="671"/>
      <c r="G277" s="673">
        <f>G278+G280</f>
        <v>10930.719799999999</v>
      </c>
      <c r="H277" s="673">
        <f>H278+H280</f>
        <v>10919.8</v>
      </c>
    </row>
    <row r="278" spans="1:9" s="91" customFormat="1" ht="63.75" customHeight="1">
      <c r="A278" s="77" t="s">
        <v>777</v>
      </c>
      <c r="B278" s="97">
        <v>934</v>
      </c>
      <c r="C278" s="95" t="s">
        <v>228</v>
      </c>
      <c r="D278" s="95" t="s">
        <v>218</v>
      </c>
      <c r="E278" s="233" t="s">
        <v>688</v>
      </c>
      <c r="F278" s="95"/>
      <c r="G278" s="108">
        <f>G279</f>
        <v>10919.8</v>
      </c>
      <c r="H278" s="108">
        <f>H279</f>
        <v>10919.8</v>
      </c>
    </row>
    <row r="279" spans="1:9" s="91" customFormat="1">
      <c r="A279" s="76" t="s">
        <v>411</v>
      </c>
      <c r="B279" s="98">
        <v>934</v>
      </c>
      <c r="C279" s="96" t="s">
        <v>228</v>
      </c>
      <c r="D279" s="96" t="s">
        <v>218</v>
      </c>
      <c r="E279" s="233" t="s">
        <v>688</v>
      </c>
      <c r="F279" s="96" t="s">
        <v>422</v>
      </c>
      <c r="G279" s="109">
        <f>10608.8+311</f>
        <v>10919.8</v>
      </c>
      <c r="H279" s="109">
        <f>G279</f>
        <v>10919.8</v>
      </c>
    </row>
    <row r="280" spans="1:9" s="91" customFormat="1" ht="47.25">
      <c r="A280" s="77" t="s">
        <v>708</v>
      </c>
      <c r="B280" s="97">
        <v>934</v>
      </c>
      <c r="C280" s="95" t="s">
        <v>228</v>
      </c>
      <c r="D280" s="95" t="s">
        <v>218</v>
      </c>
      <c r="E280" s="233" t="s">
        <v>688</v>
      </c>
      <c r="F280" s="95"/>
      <c r="G280" s="109">
        <f>G281</f>
        <v>10.9198</v>
      </c>
      <c r="H280" s="109">
        <f>H281</f>
        <v>0</v>
      </c>
    </row>
    <row r="281" spans="1:9" s="91" customFormat="1">
      <c r="A281" s="76" t="s">
        <v>411</v>
      </c>
      <c r="B281" s="98">
        <v>934</v>
      </c>
      <c r="C281" s="96" t="s">
        <v>228</v>
      </c>
      <c r="D281" s="96" t="s">
        <v>218</v>
      </c>
      <c r="E281" s="233" t="s">
        <v>688</v>
      </c>
      <c r="F281" s="96" t="s">
        <v>422</v>
      </c>
      <c r="G281" s="109">
        <f>10.6088+0.311</f>
        <v>10.9198</v>
      </c>
      <c r="H281" s="109">
        <v>0</v>
      </c>
    </row>
    <row r="282" spans="1:9" s="91" customFormat="1" ht="39" customHeight="1">
      <c r="A282" s="188" t="s">
        <v>838</v>
      </c>
      <c r="B282" s="176" t="s">
        <v>203</v>
      </c>
      <c r="C282" s="176" t="s">
        <v>228</v>
      </c>
      <c r="D282" s="176" t="s">
        <v>218</v>
      </c>
      <c r="E282" s="176" t="s">
        <v>594</v>
      </c>
      <c r="F282" s="176"/>
      <c r="G282" s="178">
        <f>G284</f>
        <v>205.05000000000015</v>
      </c>
      <c r="H282" s="178">
        <f>H284</f>
        <v>0</v>
      </c>
    </row>
    <row r="283" spans="1:9" s="91" customFormat="1" ht="39" customHeight="1">
      <c r="A283" s="188" t="s">
        <v>1023</v>
      </c>
      <c r="B283" s="176" t="s">
        <v>203</v>
      </c>
      <c r="C283" s="176" t="s">
        <v>228</v>
      </c>
      <c r="D283" s="176" t="s">
        <v>218</v>
      </c>
      <c r="E283" s="176" t="s">
        <v>992</v>
      </c>
      <c r="F283" s="176"/>
      <c r="G283" s="178">
        <f>G284</f>
        <v>205.05000000000015</v>
      </c>
      <c r="H283" s="178"/>
    </row>
    <row r="284" spans="1:9" s="91" customFormat="1" ht="99" customHeight="1">
      <c r="A284" s="221" t="s">
        <v>841</v>
      </c>
      <c r="B284" s="201" t="s">
        <v>203</v>
      </c>
      <c r="C284" s="201" t="s">
        <v>228</v>
      </c>
      <c r="D284" s="201" t="s">
        <v>218</v>
      </c>
      <c r="E284" s="96" t="s">
        <v>999</v>
      </c>
      <c r="F284" s="205"/>
      <c r="G284" s="202">
        <f>G285</f>
        <v>205.05000000000015</v>
      </c>
      <c r="H284" s="109">
        <f>H285</f>
        <v>0</v>
      </c>
    </row>
    <row r="285" spans="1:9" s="91" customFormat="1">
      <c r="A285" s="540" t="s">
        <v>411</v>
      </c>
      <c r="B285" s="502">
        <v>934</v>
      </c>
      <c r="C285" s="502">
        <v>14</v>
      </c>
      <c r="D285" s="541" t="s">
        <v>218</v>
      </c>
      <c r="E285" s="96" t="s">
        <v>999</v>
      </c>
      <c r="F285" s="502">
        <v>540</v>
      </c>
      <c r="G285" s="539">
        <f>3042.63-100-348.3-1120.58-72.8-389.70527-849.54473+43.35</f>
        <v>205.05000000000015</v>
      </c>
      <c r="H285" s="109">
        <v>0</v>
      </c>
    </row>
    <row r="286" spans="1:9" s="91" customFormat="1" ht="30.75" customHeight="1">
      <c r="A286" s="77" t="s">
        <v>1000</v>
      </c>
      <c r="B286" s="502">
        <v>934</v>
      </c>
      <c r="C286" s="502">
        <v>14</v>
      </c>
      <c r="D286" s="541" t="s">
        <v>218</v>
      </c>
      <c r="E286" s="541"/>
      <c r="F286" s="502"/>
      <c r="G286" s="574">
        <f>G287</f>
        <v>2346.7931999999996</v>
      </c>
      <c r="H286" s="109">
        <f>H287</f>
        <v>0</v>
      </c>
    </row>
    <row r="287" spans="1:9" s="91" customFormat="1">
      <c r="A287" s="540" t="s">
        <v>411</v>
      </c>
      <c r="B287" s="502">
        <v>934</v>
      </c>
      <c r="C287" s="502">
        <v>14</v>
      </c>
      <c r="D287" s="541" t="s">
        <v>218</v>
      </c>
      <c r="E287" s="233" t="s">
        <v>881</v>
      </c>
      <c r="F287" s="502">
        <v>540</v>
      </c>
      <c r="G287" s="574">
        <f>2400-107.38428+54.17748</f>
        <v>2346.7931999999996</v>
      </c>
      <c r="H287" s="109">
        <v>0</v>
      </c>
    </row>
    <row r="288" spans="1:9" s="92" customFormat="1">
      <c r="A288" s="124" t="s">
        <v>116</v>
      </c>
      <c r="B288" s="100" t="s">
        <v>117</v>
      </c>
      <c r="C288" s="100"/>
      <c r="D288" s="100"/>
      <c r="E288" s="100"/>
      <c r="F288" s="100"/>
      <c r="G288" s="101">
        <f>G289+G433</f>
        <v>781392.52277000016</v>
      </c>
      <c r="H288" s="101">
        <f>H289+H433</f>
        <v>646367.14595999999</v>
      </c>
      <c r="I288" s="214">
        <f>G288-H288</f>
        <v>135025.37681000016</v>
      </c>
    </row>
    <row r="289" spans="1:12">
      <c r="A289" s="80" t="s">
        <v>408</v>
      </c>
      <c r="B289" s="103" t="s">
        <v>117</v>
      </c>
      <c r="C289" s="103" t="s">
        <v>217</v>
      </c>
      <c r="D289" s="103"/>
      <c r="E289" s="103"/>
      <c r="F289" s="103"/>
      <c r="G289" s="104">
        <f>G290+G312+G359+G377+G394</f>
        <v>777933.02277000016</v>
      </c>
      <c r="H289" s="104">
        <f>H290+H312+H359+H377+H394</f>
        <v>642907.64595999999</v>
      </c>
    </row>
    <row r="290" spans="1:12">
      <c r="A290" s="80" t="s">
        <v>355</v>
      </c>
      <c r="B290" s="103" t="s">
        <v>117</v>
      </c>
      <c r="C290" s="103" t="s">
        <v>217</v>
      </c>
      <c r="D290" s="103" t="s">
        <v>215</v>
      </c>
      <c r="E290" s="103"/>
      <c r="F290" s="103"/>
      <c r="G290" s="123">
        <f>G291+G294</f>
        <v>210875.10099000001</v>
      </c>
      <c r="H290" s="123">
        <f>H291+H294</f>
        <v>165029.98298999999</v>
      </c>
      <c r="I290" s="85">
        <f>G290-H290</f>
        <v>45845.118000000017</v>
      </c>
    </row>
    <row r="291" spans="1:12" ht="47.25">
      <c r="A291" s="670" t="s">
        <v>890</v>
      </c>
      <c r="B291" s="690" t="s">
        <v>117</v>
      </c>
      <c r="C291" s="690" t="s">
        <v>217</v>
      </c>
      <c r="D291" s="690" t="s">
        <v>215</v>
      </c>
      <c r="E291" s="690" t="s">
        <v>551</v>
      </c>
      <c r="F291" s="690"/>
      <c r="G291" s="486">
        <f>G292</f>
        <v>200</v>
      </c>
      <c r="H291" s="486">
        <f>H292</f>
        <v>0</v>
      </c>
    </row>
    <row r="292" spans="1:12" ht="31.5">
      <c r="A292" s="174" t="s">
        <v>1017</v>
      </c>
      <c r="B292" s="175">
        <v>934</v>
      </c>
      <c r="C292" s="176" t="s">
        <v>217</v>
      </c>
      <c r="D292" s="176" t="s">
        <v>215</v>
      </c>
      <c r="E292" s="176" t="s">
        <v>551</v>
      </c>
      <c r="F292" s="690"/>
      <c r="G292" s="486">
        <f>G293</f>
        <v>200</v>
      </c>
      <c r="H292" s="486">
        <f>H293</f>
        <v>0</v>
      </c>
    </row>
    <row r="293" spans="1:12">
      <c r="A293" s="76" t="s">
        <v>271</v>
      </c>
      <c r="B293" s="96" t="s">
        <v>117</v>
      </c>
      <c r="C293" s="96" t="s">
        <v>217</v>
      </c>
      <c r="D293" s="96" t="s">
        <v>215</v>
      </c>
      <c r="E293" s="96" t="s">
        <v>551</v>
      </c>
      <c r="F293" s="96" t="s">
        <v>268</v>
      </c>
      <c r="G293" s="149">
        <v>200</v>
      </c>
      <c r="H293" s="149">
        <v>0</v>
      </c>
    </row>
    <row r="294" spans="1:12" s="91" customFormat="1" ht="47.25">
      <c r="A294" s="174" t="s">
        <v>776</v>
      </c>
      <c r="B294" s="185" t="s">
        <v>117</v>
      </c>
      <c r="C294" s="185" t="s">
        <v>217</v>
      </c>
      <c r="D294" s="185" t="s">
        <v>215</v>
      </c>
      <c r="E294" s="185" t="s">
        <v>933</v>
      </c>
      <c r="F294" s="185"/>
      <c r="G294" s="194">
        <f>G295+G307</f>
        <v>210675.10099000001</v>
      </c>
      <c r="H294" s="194">
        <f>H295</f>
        <v>165029.98298999999</v>
      </c>
    </row>
    <row r="295" spans="1:12" ht="31.5">
      <c r="A295" s="179" t="s">
        <v>458</v>
      </c>
      <c r="B295" s="181" t="s">
        <v>117</v>
      </c>
      <c r="C295" s="181" t="s">
        <v>217</v>
      </c>
      <c r="D295" s="181" t="s">
        <v>215</v>
      </c>
      <c r="E295" s="181" t="s">
        <v>934</v>
      </c>
      <c r="F295" s="181"/>
      <c r="G295" s="182">
        <f>G296+G299+G302+G305</f>
        <v>210510.89088000002</v>
      </c>
      <c r="H295" s="182">
        <f>H296+H299+H302+H305</f>
        <v>165029.98298999999</v>
      </c>
      <c r="I295" s="70">
        <v>204488.88800000001</v>
      </c>
      <c r="J295" s="70">
        <v>158843.76999999999</v>
      </c>
    </row>
    <row r="296" spans="1:12" ht="47.25">
      <c r="A296" s="693" t="s">
        <v>935</v>
      </c>
      <c r="B296" s="191">
        <v>936</v>
      </c>
      <c r="C296" s="159" t="s">
        <v>217</v>
      </c>
      <c r="D296" s="159" t="s">
        <v>215</v>
      </c>
      <c r="E296" s="201" t="s">
        <v>936</v>
      </c>
      <c r="F296" s="159"/>
      <c r="G296" s="122">
        <f>G297+G298</f>
        <v>45480.907890000002</v>
      </c>
      <c r="H296" s="122">
        <v>0</v>
      </c>
    </row>
    <row r="297" spans="1:12" ht="47.25">
      <c r="A297" s="76" t="s">
        <v>270</v>
      </c>
      <c r="B297" s="96" t="s">
        <v>117</v>
      </c>
      <c r="C297" s="96" t="s">
        <v>217</v>
      </c>
      <c r="D297" s="96" t="s">
        <v>215</v>
      </c>
      <c r="E297" s="150" t="s">
        <v>937</v>
      </c>
      <c r="F297" s="96" t="s">
        <v>420</v>
      </c>
      <c r="G297" s="200">
        <f>32696.957-134.21011</f>
        <v>32562.746889999999</v>
      </c>
      <c r="H297" s="395">
        <v>0</v>
      </c>
    </row>
    <row r="298" spans="1:12" s="92" customFormat="1" ht="47.25">
      <c r="A298" s="76" t="s">
        <v>349</v>
      </c>
      <c r="B298" s="96" t="s">
        <v>117</v>
      </c>
      <c r="C298" s="96" t="s">
        <v>217</v>
      </c>
      <c r="D298" s="96" t="s">
        <v>215</v>
      </c>
      <c r="E298" s="150" t="s">
        <v>937</v>
      </c>
      <c r="F298" s="96" t="s">
        <v>421</v>
      </c>
      <c r="G298" s="200">
        <f>12936.161+12-30</f>
        <v>12918.161</v>
      </c>
      <c r="H298" s="395">
        <v>0</v>
      </c>
    </row>
    <row r="299" spans="1:12" s="92" customFormat="1" ht="31.5">
      <c r="A299" s="158" t="s">
        <v>356</v>
      </c>
      <c r="B299" s="159" t="s">
        <v>117</v>
      </c>
      <c r="C299" s="159" t="s">
        <v>217</v>
      </c>
      <c r="D299" s="159" t="s">
        <v>215</v>
      </c>
      <c r="E299" s="159" t="s">
        <v>938</v>
      </c>
      <c r="F299" s="150"/>
      <c r="G299" s="149">
        <f>G300+G301</f>
        <v>65956.17</v>
      </c>
      <c r="H299" s="149">
        <f>H300+H301</f>
        <v>65956.17</v>
      </c>
      <c r="I299" s="214">
        <f>G299+G325</f>
        <v>74197.5</v>
      </c>
    </row>
    <row r="300" spans="1:12" s="92" customFormat="1">
      <c r="A300" s="170" t="s">
        <v>271</v>
      </c>
      <c r="B300" s="150" t="s">
        <v>117</v>
      </c>
      <c r="C300" s="150" t="s">
        <v>217</v>
      </c>
      <c r="D300" s="150" t="s">
        <v>215</v>
      </c>
      <c r="E300" s="150" t="s">
        <v>938</v>
      </c>
      <c r="F300" s="150" t="s">
        <v>268</v>
      </c>
      <c r="G300" s="149">
        <f>38889.5+152.7</f>
        <v>39042.199999999997</v>
      </c>
      <c r="H300" s="149">
        <f>G300</f>
        <v>39042.199999999997</v>
      </c>
    </row>
    <row r="301" spans="1:12" s="92" customFormat="1">
      <c r="A301" s="170" t="s">
        <v>350</v>
      </c>
      <c r="B301" s="150" t="s">
        <v>117</v>
      </c>
      <c r="C301" s="150" t="s">
        <v>217</v>
      </c>
      <c r="D301" s="150" t="s">
        <v>215</v>
      </c>
      <c r="E301" s="150" t="s">
        <v>938</v>
      </c>
      <c r="F301" s="150" t="s">
        <v>351</v>
      </c>
      <c r="G301" s="149">
        <v>26913.97</v>
      </c>
      <c r="H301" s="149">
        <f>G301</f>
        <v>26913.97</v>
      </c>
    </row>
    <row r="302" spans="1:12" s="92" customFormat="1" ht="63">
      <c r="A302" s="74" t="s">
        <v>918</v>
      </c>
      <c r="B302" s="150" t="s">
        <v>117</v>
      </c>
      <c r="C302" s="150" t="s">
        <v>217</v>
      </c>
      <c r="D302" s="150" t="s">
        <v>215</v>
      </c>
      <c r="E302" s="150" t="s">
        <v>1186</v>
      </c>
      <c r="F302" s="150"/>
      <c r="G302" s="149">
        <f>G303+G304</f>
        <v>6033.5129900000002</v>
      </c>
      <c r="H302" s="149">
        <f>H303+H304</f>
        <v>6033.5129900000002</v>
      </c>
      <c r="L302" s="214">
        <f>L108+L109</f>
        <v>1287.7639099999988</v>
      </c>
    </row>
    <row r="303" spans="1:12" s="92" customFormat="1">
      <c r="A303" s="170" t="s">
        <v>271</v>
      </c>
      <c r="B303" s="150" t="s">
        <v>117</v>
      </c>
      <c r="C303" s="150" t="s">
        <v>217</v>
      </c>
      <c r="D303" s="150" t="s">
        <v>215</v>
      </c>
      <c r="E303" s="150" t="s">
        <v>1186</v>
      </c>
      <c r="F303" s="150" t="s">
        <v>268</v>
      </c>
      <c r="G303" s="149">
        <v>4529.6937200000002</v>
      </c>
      <c r="H303" s="149">
        <f>G303</f>
        <v>4529.6937200000002</v>
      </c>
    </row>
    <row r="304" spans="1:12" s="92" customFormat="1">
      <c r="A304" s="170" t="s">
        <v>350</v>
      </c>
      <c r="B304" s="150" t="s">
        <v>117</v>
      </c>
      <c r="C304" s="150" t="s">
        <v>217</v>
      </c>
      <c r="D304" s="150" t="s">
        <v>215</v>
      </c>
      <c r="E304" s="150" t="s">
        <v>1186</v>
      </c>
      <c r="F304" s="150" t="s">
        <v>351</v>
      </c>
      <c r="G304" s="149">
        <v>1503.81927</v>
      </c>
      <c r="H304" s="149">
        <f>G304</f>
        <v>1503.81927</v>
      </c>
    </row>
    <row r="305" spans="1:10" s="92" customFormat="1" ht="47.25">
      <c r="A305" s="76" t="s">
        <v>880</v>
      </c>
      <c r="B305" s="96" t="s">
        <v>117</v>
      </c>
      <c r="C305" s="96" t="s">
        <v>217</v>
      </c>
      <c r="D305" s="96" t="s">
        <v>215</v>
      </c>
      <c r="E305" s="150" t="s">
        <v>887</v>
      </c>
      <c r="F305" s="96"/>
      <c r="G305" s="149">
        <f>G306</f>
        <v>93040.3</v>
      </c>
      <c r="H305" s="149">
        <f>H306</f>
        <v>93040.3</v>
      </c>
    </row>
    <row r="306" spans="1:10" s="92" customFormat="1">
      <c r="A306" s="76" t="s">
        <v>271</v>
      </c>
      <c r="B306" s="96" t="s">
        <v>117</v>
      </c>
      <c r="C306" s="96" t="s">
        <v>217</v>
      </c>
      <c r="D306" s="96" t="s">
        <v>215</v>
      </c>
      <c r="E306" s="150" t="s">
        <v>887</v>
      </c>
      <c r="F306" s="96" t="s">
        <v>268</v>
      </c>
      <c r="G306" s="149">
        <v>93040.3</v>
      </c>
      <c r="H306" s="149">
        <f>G306</f>
        <v>93040.3</v>
      </c>
    </row>
    <row r="307" spans="1:10" s="92" customFormat="1" ht="47.25">
      <c r="A307" s="807" t="s">
        <v>1173</v>
      </c>
      <c r="B307" s="187" t="s">
        <v>117</v>
      </c>
      <c r="C307" s="187" t="s">
        <v>217</v>
      </c>
      <c r="D307" s="187" t="s">
        <v>215</v>
      </c>
      <c r="E307" s="190" t="s">
        <v>1180</v>
      </c>
      <c r="F307" s="187"/>
      <c r="G307" s="195">
        <f>G308</f>
        <v>164.21010999999999</v>
      </c>
      <c r="H307" s="195"/>
    </row>
    <row r="308" spans="1:10" s="92" customFormat="1" ht="31.5">
      <c r="A308" s="807" t="s">
        <v>1192</v>
      </c>
      <c r="B308" s="187" t="s">
        <v>117</v>
      </c>
      <c r="C308" s="187" t="s">
        <v>217</v>
      </c>
      <c r="D308" s="187" t="s">
        <v>215</v>
      </c>
      <c r="E308" s="190" t="s">
        <v>1181</v>
      </c>
      <c r="F308" s="187"/>
      <c r="G308" s="195">
        <f>G310+G311</f>
        <v>164.21010999999999</v>
      </c>
      <c r="H308" s="195"/>
    </row>
    <row r="309" spans="1:10" s="92" customFormat="1" ht="31.5">
      <c r="A309" s="209" t="s">
        <v>1174</v>
      </c>
      <c r="B309" s="205" t="s">
        <v>117</v>
      </c>
      <c r="C309" s="205" t="s">
        <v>217</v>
      </c>
      <c r="D309" s="205" t="s">
        <v>215</v>
      </c>
      <c r="E309" s="205" t="s">
        <v>1179</v>
      </c>
      <c r="F309" s="205"/>
      <c r="G309" s="200">
        <f>G310+G311</f>
        <v>164.21010999999999</v>
      </c>
      <c r="H309" s="200"/>
    </row>
    <row r="310" spans="1:10" s="92" customFormat="1">
      <c r="A310" s="76" t="s">
        <v>518</v>
      </c>
      <c r="B310" s="96" t="s">
        <v>117</v>
      </c>
      <c r="C310" s="96" t="s">
        <v>217</v>
      </c>
      <c r="D310" s="96" t="s">
        <v>215</v>
      </c>
      <c r="E310" s="150" t="s">
        <v>1179</v>
      </c>
      <c r="F310" s="96" t="s">
        <v>268</v>
      </c>
      <c r="G310" s="149">
        <v>134.21010999999999</v>
      </c>
      <c r="H310" s="149"/>
    </row>
    <row r="311" spans="1:10" s="92" customFormat="1">
      <c r="A311" s="170" t="s">
        <v>350</v>
      </c>
      <c r="B311" s="96" t="s">
        <v>117</v>
      </c>
      <c r="C311" s="96" t="s">
        <v>217</v>
      </c>
      <c r="D311" s="96" t="s">
        <v>215</v>
      </c>
      <c r="E311" s="150" t="s">
        <v>1179</v>
      </c>
      <c r="F311" s="96" t="s">
        <v>351</v>
      </c>
      <c r="G311" s="149">
        <v>30</v>
      </c>
      <c r="H311" s="149"/>
    </row>
    <row r="312" spans="1:10" ht="24" customHeight="1">
      <c r="A312" s="79" t="s">
        <v>262</v>
      </c>
      <c r="B312" s="103" t="s">
        <v>117</v>
      </c>
      <c r="C312" s="106" t="s">
        <v>217</v>
      </c>
      <c r="D312" s="106" t="s">
        <v>216</v>
      </c>
      <c r="E312" s="106"/>
      <c r="F312" s="106"/>
      <c r="G312" s="107">
        <f t="shared" ref="G312:H314" si="11">G313</f>
        <v>500193.79430000007</v>
      </c>
      <c r="H312" s="107">
        <f t="shared" si="11"/>
        <v>436849.23119999998</v>
      </c>
      <c r="I312" s="85">
        <f>G312-H312</f>
        <v>63344.563100000087</v>
      </c>
    </row>
    <row r="313" spans="1:10" ht="47.25">
      <c r="A313" s="174" t="s">
        <v>770</v>
      </c>
      <c r="B313" s="185" t="s">
        <v>117</v>
      </c>
      <c r="C313" s="185" t="s">
        <v>217</v>
      </c>
      <c r="D313" s="185" t="s">
        <v>216</v>
      </c>
      <c r="E313" s="185" t="s">
        <v>940</v>
      </c>
      <c r="F313" s="185"/>
      <c r="G313" s="194">
        <f>G314+G349+G353</f>
        <v>500193.79430000007</v>
      </c>
      <c r="H313" s="194">
        <f>H314+H349+H353</f>
        <v>436849.23119999998</v>
      </c>
    </row>
    <row r="314" spans="1:10" ht="31.5">
      <c r="A314" s="179" t="s">
        <v>457</v>
      </c>
      <c r="B314" s="181" t="s">
        <v>117</v>
      </c>
      <c r="C314" s="181" t="s">
        <v>217</v>
      </c>
      <c r="D314" s="181" t="s">
        <v>216</v>
      </c>
      <c r="E314" s="181" t="s">
        <v>941</v>
      </c>
      <c r="F314" s="181"/>
      <c r="G314" s="182">
        <f t="shared" si="11"/>
        <v>499224.46585000004</v>
      </c>
      <c r="H314" s="182">
        <f t="shared" si="11"/>
        <v>436367.73119999998</v>
      </c>
      <c r="I314" s="70">
        <v>462954.89562999998</v>
      </c>
      <c r="J314" s="70">
        <v>383303.03</v>
      </c>
    </row>
    <row r="315" spans="1:10" ht="52.5" customHeight="1">
      <c r="A315" s="179" t="s">
        <v>939</v>
      </c>
      <c r="B315" s="181" t="s">
        <v>117</v>
      </c>
      <c r="C315" s="181" t="s">
        <v>217</v>
      </c>
      <c r="D315" s="181" t="s">
        <v>216</v>
      </c>
      <c r="E315" s="181" t="s">
        <v>942</v>
      </c>
      <c r="F315" s="181"/>
      <c r="G315" s="182">
        <f>G316+G318+G320+G325+G327+G329+G331+G333+G335+G337+G339+G347+G321+G323+G341+G343+G345</f>
        <v>499224.46585000004</v>
      </c>
      <c r="H315" s="182">
        <f>H316+H318+H320+H325+H327+H329+H331+H333+H335+H337+H339+H347+H321+H323+H341+H343</f>
        <v>436367.73119999998</v>
      </c>
    </row>
    <row r="316" spans="1:10" s="155" customFormat="1" ht="47.25">
      <c r="A316" s="170" t="s">
        <v>741</v>
      </c>
      <c r="B316" s="159" t="s">
        <v>117</v>
      </c>
      <c r="C316" s="159" t="s">
        <v>217</v>
      </c>
      <c r="D316" s="159" t="s">
        <v>216</v>
      </c>
      <c r="E316" s="96" t="s">
        <v>943</v>
      </c>
      <c r="F316" s="159"/>
      <c r="G316" s="122">
        <f>G317</f>
        <v>0</v>
      </c>
      <c r="H316" s="122">
        <f>H317</f>
        <v>0</v>
      </c>
    </row>
    <row r="317" spans="1:10" s="155" customFormat="1">
      <c r="A317" s="76" t="s">
        <v>518</v>
      </c>
      <c r="B317" s="159" t="s">
        <v>117</v>
      </c>
      <c r="C317" s="159" t="s">
        <v>217</v>
      </c>
      <c r="D317" s="159" t="s">
        <v>216</v>
      </c>
      <c r="E317" s="96" t="s">
        <v>943</v>
      </c>
      <c r="F317" s="159" t="s">
        <v>268</v>
      </c>
      <c r="G317" s="122"/>
      <c r="H317" s="122">
        <f>G317</f>
        <v>0</v>
      </c>
    </row>
    <row r="318" spans="1:10" s="155" customFormat="1" ht="63">
      <c r="A318" s="170" t="s">
        <v>742</v>
      </c>
      <c r="B318" s="159" t="s">
        <v>117</v>
      </c>
      <c r="C318" s="159" t="s">
        <v>217</v>
      </c>
      <c r="D318" s="159" t="s">
        <v>216</v>
      </c>
      <c r="E318" s="96" t="s">
        <v>943</v>
      </c>
      <c r="F318" s="159"/>
      <c r="G318" s="122">
        <f>G319</f>
        <v>0</v>
      </c>
      <c r="H318" s="122">
        <f>H319</f>
        <v>0</v>
      </c>
    </row>
    <row r="319" spans="1:10" s="155" customFormat="1">
      <c r="A319" s="76" t="s">
        <v>518</v>
      </c>
      <c r="B319" s="159" t="s">
        <v>117</v>
      </c>
      <c r="C319" s="159" t="s">
        <v>217</v>
      </c>
      <c r="D319" s="159" t="s">
        <v>216</v>
      </c>
      <c r="E319" s="96" t="s">
        <v>943</v>
      </c>
      <c r="F319" s="159" t="s">
        <v>268</v>
      </c>
      <c r="G319" s="122"/>
      <c r="H319" s="122">
        <v>0</v>
      </c>
    </row>
    <row r="320" spans="1:10" ht="47.25">
      <c r="A320" s="76" t="s">
        <v>270</v>
      </c>
      <c r="B320" s="96" t="s">
        <v>117</v>
      </c>
      <c r="C320" s="96" t="s">
        <v>217</v>
      </c>
      <c r="D320" s="96" t="s">
        <v>216</v>
      </c>
      <c r="E320" s="150" t="s">
        <v>944</v>
      </c>
      <c r="F320" s="96" t="s">
        <v>420</v>
      </c>
      <c r="G320" s="200">
        <f>65507.244+6350.6+7051.34908-858.7+290.5409-2914.4159-191.99326-10-330-54.17748-16900-478.00192-299.7-7914.44573-43.35</f>
        <v>49204.949690000016</v>
      </c>
      <c r="H320" s="491">
        <v>0</v>
      </c>
    </row>
    <row r="321" spans="1:8" ht="63">
      <c r="A321" s="74" t="s">
        <v>918</v>
      </c>
      <c r="B321" s="96" t="s">
        <v>117</v>
      </c>
      <c r="C321" s="96" t="s">
        <v>217</v>
      </c>
      <c r="D321" s="96" t="s">
        <v>216</v>
      </c>
      <c r="E321" s="150" t="s">
        <v>1172</v>
      </c>
      <c r="F321" s="96"/>
      <c r="G321" s="200">
        <f>G322</f>
        <v>21363.701200000003</v>
      </c>
      <c r="H321" s="491">
        <f>H322</f>
        <v>21363.701200000003</v>
      </c>
    </row>
    <row r="322" spans="1:8">
      <c r="A322" s="76" t="s">
        <v>271</v>
      </c>
      <c r="B322" s="96" t="s">
        <v>117</v>
      </c>
      <c r="C322" s="96" t="s">
        <v>217</v>
      </c>
      <c r="D322" s="96" t="s">
        <v>216</v>
      </c>
      <c r="E322" s="150" t="s">
        <v>1172</v>
      </c>
      <c r="F322" s="96" t="s">
        <v>268</v>
      </c>
      <c r="G322" s="200">
        <f>16900+388.3012+4075.4</f>
        <v>21363.701200000003</v>
      </c>
      <c r="H322" s="491">
        <f>G322</f>
        <v>21363.701200000003</v>
      </c>
    </row>
    <row r="323" spans="1:8" ht="78.75">
      <c r="A323" s="74" t="s">
        <v>919</v>
      </c>
      <c r="B323" s="96" t="s">
        <v>117</v>
      </c>
      <c r="C323" s="96" t="s">
        <v>217</v>
      </c>
      <c r="D323" s="96" t="s">
        <v>216</v>
      </c>
      <c r="E323" s="150" t="s">
        <v>1172</v>
      </c>
      <c r="F323" s="96"/>
      <c r="G323" s="200">
        <f>G324</f>
        <v>344.89796000000001</v>
      </c>
      <c r="H323" s="491"/>
    </row>
    <row r="324" spans="1:8">
      <c r="A324" s="76" t="s">
        <v>271</v>
      </c>
      <c r="B324" s="96" t="s">
        <v>117</v>
      </c>
      <c r="C324" s="96" t="s">
        <v>217</v>
      </c>
      <c r="D324" s="96" t="s">
        <v>216</v>
      </c>
      <c r="E324" s="150" t="s">
        <v>1172</v>
      </c>
      <c r="F324" s="96" t="s">
        <v>268</v>
      </c>
      <c r="G324" s="200">
        <v>344.89796000000001</v>
      </c>
      <c r="H324" s="491"/>
    </row>
    <row r="325" spans="1:8" s="91" customFormat="1" ht="31.5">
      <c r="A325" s="77" t="s">
        <v>356</v>
      </c>
      <c r="B325" s="95" t="s">
        <v>117</v>
      </c>
      <c r="C325" s="95" t="s">
        <v>217</v>
      </c>
      <c r="D325" s="95" t="s">
        <v>216</v>
      </c>
      <c r="E325" s="96" t="s">
        <v>945</v>
      </c>
      <c r="F325" s="95"/>
      <c r="G325" s="202">
        <f>G326</f>
        <v>8241.33</v>
      </c>
      <c r="H325" s="202">
        <f>H326</f>
        <v>8241.33</v>
      </c>
    </row>
    <row r="326" spans="1:8">
      <c r="A326" s="76" t="s">
        <v>271</v>
      </c>
      <c r="B326" s="96" t="s">
        <v>117</v>
      </c>
      <c r="C326" s="96" t="s">
        <v>217</v>
      </c>
      <c r="D326" s="96" t="s">
        <v>216</v>
      </c>
      <c r="E326" s="96" t="s">
        <v>945</v>
      </c>
      <c r="F326" s="96" t="s">
        <v>268</v>
      </c>
      <c r="G326" s="200">
        <v>8241.33</v>
      </c>
      <c r="H326" s="491">
        <f>G326</f>
        <v>8241.33</v>
      </c>
    </row>
    <row r="327" spans="1:8" s="91" customFormat="1" ht="78.75">
      <c r="A327" s="77" t="s">
        <v>744</v>
      </c>
      <c r="B327" s="95" t="s">
        <v>117</v>
      </c>
      <c r="C327" s="95" t="s">
        <v>217</v>
      </c>
      <c r="D327" s="95" t="s">
        <v>216</v>
      </c>
      <c r="E327" s="95" t="s">
        <v>946</v>
      </c>
      <c r="F327" s="95"/>
      <c r="G327" s="202">
        <f>G328</f>
        <v>238937.4</v>
      </c>
      <c r="H327" s="492">
        <f>H328</f>
        <v>238937.4</v>
      </c>
    </row>
    <row r="328" spans="1:8">
      <c r="A328" s="76" t="s">
        <v>271</v>
      </c>
      <c r="B328" s="96" t="s">
        <v>117</v>
      </c>
      <c r="C328" s="96" t="s">
        <v>217</v>
      </c>
      <c r="D328" s="96" t="s">
        <v>216</v>
      </c>
      <c r="E328" s="95" t="s">
        <v>946</v>
      </c>
      <c r="F328" s="96" t="s">
        <v>268</v>
      </c>
      <c r="G328" s="200">
        <f>240007.4-1070</f>
        <v>238937.4</v>
      </c>
      <c r="H328" s="491">
        <f>G328</f>
        <v>238937.4</v>
      </c>
    </row>
    <row r="329" spans="1:8" ht="50.25" customHeight="1">
      <c r="A329" s="77" t="s">
        <v>242</v>
      </c>
      <c r="B329" s="96" t="s">
        <v>117</v>
      </c>
      <c r="C329" s="95" t="s">
        <v>217</v>
      </c>
      <c r="D329" s="95" t="s">
        <v>216</v>
      </c>
      <c r="E329" s="96" t="s">
        <v>947</v>
      </c>
      <c r="F329" s="95"/>
      <c r="G329" s="202">
        <f>G330</f>
        <v>5582.4</v>
      </c>
      <c r="H329" s="202">
        <f>H330</f>
        <v>5582.4</v>
      </c>
    </row>
    <row r="330" spans="1:8" s="91" customFormat="1" ht="26.25" customHeight="1">
      <c r="A330" s="76" t="s">
        <v>271</v>
      </c>
      <c r="B330" s="96" t="s">
        <v>117</v>
      </c>
      <c r="C330" s="96" t="s">
        <v>217</v>
      </c>
      <c r="D330" s="96" t="s">
        <v>216</v>
      </c>
      <c r="E330" s="96" t="s">
        <v>947</v>
      </c>
      <c r="F330" s="96" t="s">
        <v>268</v>
      </c>
      <c r="G330" s="200">
        <v>5582.4</v>
      </c>
      <c r="H330" s="200">
        <f>G330</f>
        <v>5582.4</v>
      </c>
    </row>
    <row r="331" spans="1:8" s="91" customFormat="1" ht="57" customHeight="1">
      <c r="A331" s="76" t="s">
        <v>874</v>
      </c>
      <c r="B331" s="96" t="s">
        <v>117</v>
      </c>
      <c r="C331" s="96" t="s">
        <v>217</v>
      </c>
      <c r="D331" s="96" t="s">
        <v>216</v>
      </c>
      <c r="E331" s="96" t="s">
        <v>948</v>
      </c>
      <c r="F331" s="95"/>
      <c r="G331" s="200">
        <f>G332</f>
        <v>887.39999999999986</v>
      </c>
      <c r="H331" s="200">
        <f>H332</f>
        <v>887.39999999999986</v>
      </c>
    </row>
    <row r="332" spans="1:8" s="91" customFormat="1" ht="26.25" customHeight="1">
      <c r="A332" s="76" t="s">
        <v>271</v>
      </c>
      <c r="B332" s="96" t="s">
        <v>117</v>
      </c>
      <c r="C332" s="96" t="s">
        <v>217</v>
      </c>
      <c r="D332" s="96" t="s">
        <v>216</v>
      </c>
      <c r="E332" s="96" t="s">
        <v>948</v>
      </c>
      <c r="F332" s="96" t="s">
        <v>268</v>
      </c>
      <c r="G332" s="200">
        <f>2403.1-1515.7</f>
        <v>887.39999999999986</v>
      </c>
      <c r="H332" s="200">
        <f>G332</f>
        <v>887.39999999999986</v>
      </c>
    </row>
    <row r="333" spans="1:8" ht="48.75" customHeight="1">
      <c r="A333" s="76" t="s">
        <v>875</v>
      </c>
      <c r="B333" s="150" t="s">
        <v>117</v>
      </c>
      <c r="C333" s="159" t="s">
        <v>217</v>
      </c>
      <c r="D333" s="159" t="s">
        <v>216</v>
      </c>
      <c r="E333" s="150" t="s">
        <v>949</v>
      </c>
      <c r="F333" s="159"/>
      <c r="G333" s="202">
        <f>G334</f>
        <v>11247.8</v>
      </c>
      <c r="H333" s="202">
        <f>H334</f>
        <v>11247.8</v>
      </c>
    </row>
    <row r="334" spans="1:8">
      <c r="A334" s="76" t="s">
        <v>271</v>
      </c>
      <c r="B334" s="96" t="s">
        <v>117</v>
      </c>
      <c r="C334" s="96" t="s">
        <v>217</v>
      </c>
      <c r="D334" s="96" t="s">
        <v>216</v>
      </c>
      <c r="E334" s="150" t="s">
        <v>949</v>
      </c>
      <c r="F334" s="96" t="s">
        <v>268</v>
      </c>
      <c r="G334" s="200">
        <f>5940.6+5307.2</f>
        <v>11247.8</v>
      </c>
      <c r="H334" s="491">
        <f>G334</f>
        <v>11247.8</v>
      </c>
    </row>
    <row r="335" spans="1:8" ht="63">
      <c r="A335" s="76" t="s">
        <v>876</v>
      </c>
      <c r="B335" s="96" t="s">
        <v>117</v>
      </c>
      <c r="C335" s="96" t="s">
        <v>217</v>
      </c>
      <c r="D335" s="96" t="s">
        <v>216</v>
      </c>
      <c r="E335" s="150" t="s">
        <v>949</v>
      </c>
      <c r="F335" s="96"/>
      <c r="G335" s="200">
        <f>G336</f>
        <v>11247.8</v>
      </c>
      <c r="H335" s="491">
        <f>H336</f>
        <v>0</v>
      </c>
    </row>
    <row r="336" spans="1:8">
      <c r="A336" s="76" t="s">
        <v>271</v>
      </c>
      <c r="B336" s="96" t="s">
        <v>117</v>
      </c>
      <c r="C336" s="96" t="s">
        <v>217</v>
      </c>
      <c r="D336" s="96" t="s">
        <v>216</v>
      </c>
      <c r="E336" s="150" t="s">
        <v>949</v>
      </c>
      <c r="F336" s="96" t="s">
        <v>268</v>
      </c>
      <c r="G336" s="200">
        <f>2970.3+8277.5</f>
        <v>11247.8</v>
      </c>
      <c r="H336" s="491">
        <v>0</v>
      </c>
    </row>
    <row r="337" spans="1:9" ht="47.25">
      <c r="A337" s="76" t="s">
        <v>806</v>
      </c>
      <c r="B337" s="159" t="s">
        <v>117</v>
      </c>
      <c r="C337" s="159" t="s">
        <v>217</v>
      </c>
      <c r="D337" s="159" t="s">
        <v>216</v>
      </c>
      <c r="E337" s="96" t="s">
        <v>951</v>
      </c>
      <c r="F337" s="159"/>
      <c r="G337" s="200">
        <f>G338</f>
        <v>86243.3</v>
      </c>
      <c r="H337" s="491">
        <f>H338</f>
        <v>86243.3</v>
      </c>
    </row>
    <row r="338" spans="1:9">
      <c r="A338" s="76" t="s">
        <v>518</v>
      </c>
      <c r="B338" s="150" t="s">
        <v>117</v>
      </c>
      <c r="C338" s="150" t="s">
        <v>217</v>
      </c>
      <c r="D338" s="150" t="s">
        <v>216</v>
      </c>
      <c r="E338" s="96" t="s">
        <v>951</v>
      </c>
      <c r="F338" s="159" t="s">
        <v>268</v>
      </c>
      <c r="G338" s="200">
        <f>86078.6+164.7</f>
        <v>86243.3</v>
      </c>
      <c r="H338" s="491">
        <f>G338</f>
        <v>86243.3</v>
      </c>
    </row>
    <row r="339" spans="1:9" ht="63">
      <c r="A339" s="76" t="s">
        <v>812</v>
      </c>
      <c r="B339" s="159" t="s">
        <v>117</v>
      </c>
      <c r="C339" s="159" t="s">
        <v>217</v>
      </c>
      <c r="D339" s="159" t="s">
        <v>216</v>
      </c>
      <c r="E339" s="96" t="s">
        <v>950</v>
      </c>
      <c r="F339" s="159"/>
      <c r="G339" s="200">
        <f>G340</f>
        <v>1777.11428</v>
      </c>
      <c r="H339" s="491">
        <f>H340</f>
        <v>0</v>
      </c>
    </row>
    <row r="340" spans="1:9">
      <c r="A340" s="76" t="s">
        <v>518</v>
      </c>
      <c r="B340" s="150" t="s">
        <v>117</v>
      </c>
      <c r="C340" s="150" t="s">
        <v>217</v>
      </c>
      <c r="D340" s="150" t="s">
        <v>216</v>
      </c>
      <c r="E340" s="96" t="s">
        <v>950</v>
      </c>
      <c r="F340" s="150" t="s">
        <v>268</v>
      </c>
      <c r="G340" s="200">
        <v>1777.11428</v>
      </c>
      <c r="H340" s="491">
        <v>0</v>
      </c>
    </row>
    <row r="341" spans="1:9" ht="94.5">
      <c r="A341" s="76" t="s">
        <v>1217</v>
      </c>
      <c r="B341" s="150" t="s">
        <v>117</v>
      </c>
      <c r="C341" s="150" t="s">
        <v>217</v>
      </c>
      <c r="D341" s="150" t="s">
        <v>216</v>
      </c>
      <c r="E341" s="96" t="s">
        <v>1218</v>
      </c>
      <c r="F341" s="150"/>
      <c r="G341" s="200">
        <f>G342</f>
        <v>914</v>
      </c>
      <c r="H341" s="491">
        <f>H342</f>
        <v>914</v>
      </c>
    </row>
    <row r="342" spans="1:9">
      <c r="A342" s="76" t="s">
        <v>518</v>
      </c>
      <c r="B342" s="150" t="s">
        <v>117</v>
      </c>
      <c r="C342" s="150" t="s">
        <v>217</v>
      </c>
      <c r="D342" s="150" t="s">
        <v>216</v>
      </c>
      <c r="E342" s="96" t="s">
        <v>1218</v>
      </c>
      <c r="F342" s="150" t="s">
        <v>268</v>
      </c>
      <c r="G342" s="200">
        <v>914</v>
      </c>
      <c r="H342" s="491">
        <f>G342</f>
        <v>914</v>
      </c>
    </row>
    <row r="343" spans="1:9" ht="47.25">
      <c r="A343" s="76" t="s">
        <v>1223</v>
      </c>
      <c r="B343" s="150" t="s">
        <v>117</v>
      </c>
      <c r="C343" s="150" t="s">
        <v>217</v>
      </c>
      <c r="D343" s="150" t="s">
        <v>216</v>
      </c>
      <c r="E343" s="96" t="s">
        <v>1225</v>
      </c>
      <c r="F343" s="150"/>
      <c r="G343" s="200">
        <f>G344</f>
        <v>27915.200000000001</v>
      </c>
      <c r="H343" s="491">
        <f>H344</f>
        <v>27915.200000000001</v>
      </c>
    </row>
    <row r="344" spans="1:9">
      <c r="A344" s="76" t="s">
        <v>518</v>
      </c>
      <c r="B344" s="150" t="s">
        <v>117</v>
      </c>
      <c r="C344" s="150" t="s">
        <v>217</v>
      </c>
      <c r="D344" s="150" t="s">
        <v>216</v>
      </c>
      <c r="E344" s="96" t="s">
        <v>1225</v>
      </c>
      <c r="F344" s="150" t="s">
        <v>268</v>
      </c>
      <c r="G344" s="200">
        <v>27915.200000000001</v>
      </c>
      <c r="H344" s="491">
        <f>G344</f>
        <v>27915.200000000001</v>
      </c>
    </row>
    <row r="345" spans="1:9" ht="63">
      <c r="A345" s="76" t="s">
        <v>1224</v>
      </c>
      <c r="B345" s="150" t="s">
        <v>117</v>
      </c>
      <c r="C345" s="150" t="s">
        <v>217</v>
      </c>
      <c r="D345" s="150" t="s">
        <v>216</v>
      </c>
      <c r="E345" s="96" t="s">
        <v>1225</v>
      </c>
      <c r="F345" s="150"/>
      <c r="G345" s="200">
        <f>G346</f>
        <v>281.97271999999998</v>
      </c>
      <c r="H345" s="491"/>
    </row>
    <row r="346" spans="1:9">
      <c r="A346" s="76" t="s">
        <v>518</v>
      </c>
      <c r="B346" s="150" t="s">
        <v>117</v>
      </c>
      <c r="C346" s="150" t="s">
        <v>217</v>
      </c>
      <c r="D346" s="150" t="s">
        <v>216</v>
      </c>
      <c r="E346" s="96" t="s">
        <v>1225</v>
      </c>
      <c r="F346" s="150" t="s">
        <v>268</v>
      </c>
      <c r="G346" s="200">
        <v>281.97271999999998</v>
      </c>
      <c r="H346" s="491"/>
    </row>
    <row r="347" spans="1:9" ht="47.25">
      <c r="A347" s="76" t="s">
        <v>877</v>
      </c>
      <c r="B347" s="96" t="s">
        <v>117</v>
      </c>
      <c r="C347" s="96" t="s">
        <v>217</v>
      </c>
      <c r="D347" s="96" t="s">
        <v>216</v>
      </c>
      <c r="E347" s="150" t="s">
        <v>878</v>
      </c>
      <c r="F347" s="96"/>
      <c r="G347" s="149">
        <f>G348</f>
        <v>35035.199999999997</v>
      </c>
      <c r="H347" s="491">
        <f>H348</f>
        <v>35035.199999999997</v>
      </c>
    </row>
    <row r="348" spans="1:9">
      <c r="A348" s="76" t="s">
        <v>271</v>
      </c>
      <c r="B348" s="96" t="s">
        <v>117</v>
      </c>
      <c r="C348" s="96" t="s">
        <v>217</v>
      </c>
      <c r="D348" s="96" t="s">
        <v>216</v>
      </c>
      <c r="E348" s="150" t="s">
        <v>878</v>
      </c>
      <c r="F348" s="96" t="s">
        <v>268</v>
      </c>
      <c r="G348" s="149">
        <f>34568.1+467.1</f>
        <v>35035.199999999997</v>
      </c>
      <c r="H348" s="491">
        <f>G348</f>
        <v>35035.199999999997</v>
      </c>
      <c r="I348" s="70" t="s">
        <v>889</v>
      </c>
    </row>
    <row r="349" spans="1:9" ht="47.25">
      <c r="A349" s="807" t="s">
        <v>1173</v>
      </c>
      <c r="B349" s="187" t="s">
        <v>117</v>
      </c>
      <c r="C349" s="187" t="s">
        <v>217</v>
      </c>
      <c r="D349" s="187" t="s">
        <v>216</v>
      </c>
      <c r="E349" s="190" t="s">
        <v>1184</v>
      </c>
      <c r="F349" s="187"/>
      <c r="G349" s="195">
        <f>G350</f>
        <v>478.00191999999998</v>
      </c>
      <c r="H349" s="195">
        <v>0</v>
      </c>
    </row>
    <row r="350" spans="1:9" ht="31.5">
      <c r="A350" s="807" t="s">
        <v>1192</v>
      </c>
      <c r="B350" s="187" t="s">
        <v>117</v>
      </c>
      <c r="C350" s="187" t="s">
        <v>217</v>
      </c>
      <c r="D350" s="187" t="s">
        <v>216</v>
      </c>
      <c r="E350" s="190" t="s">
        <v>1181</v>
      </c>
      <c r="F350" s="187"/>
      <c r="G350" s="195">
        <f>G352</f>
        <v>478.00191999999998</v>
      </c>
      <c r="H350" s="195">
        <v>0</v>
      </c>
    </row>
    <row r="351" spans="1:9" ht="31.5">
      <c r="A351" s="209" t="s">
        <v>1174</v>
      </c>
      <c r="B351" s="205" t="s">
        <v>117</v>
      </c>
      <c r="C351" s="205" t="s">
        <v>217</v>
      </c>
      <c r="D351" s="205" t="s">
        <v>216</v>
      </c>
      <c r="E351" s="346"/>
      <c r="F351" s="205"/>
      <c r="G351" s="200">
        <f>G352</f>
        <v>478.00191999999998</v>
      </c>
      <c r="H351" s="200"/>
    </row>
    <row r="352" spans="1:9">
      <c r="A352" s="76" t="s">
        <v>271</v>
      </c>
      <c r="B352" s="96" t="s">
        <v>117</v>
      </c>
      <c r="C352" s="96" t="s">
        <v>217</v>
      </c>
      <c r="D352" s="96" t="s">
        <v>216</v>
      </c>
      <c r="E352" s="150" t="s">
        <v>1179</v>
      </c>
      <c r="F352" s="96" t="s">
        <v>268</v>
      </c>
      <c r="G352" s="149">
        <v>478.00191999999998</v>
      </c>
      <c r="H352" s="491">
        <v>0</v>
      </c>
    </row>
    <row r="353" spans="1:9" ht="31.5">
      <c r="A353" s="807" t="s">
        <v>1175</v>
      </c>
      <c r="B353" s="187" t="s">
        <v>117</v>
      </c>
      <c r="C353" s="187" t="s">
        <v>217</v>
      </c>
      <c r="D353" s="187" t="s">
        <v>216</v>
      </c>
      <c r="E353" s="190" t="s">
        <v>1182</v>
      </c>
      <c r="F353" s="187"/>
      <c r="G353" s="195">
        <f>G354</f>
        <v>491.32652999999999</v>
      </c>
      <c r="H353" s="195">
        <f>H354</f>
        <v>481.5</v>
      </c>
    </row>
    <row r="354" spans="1:9" ht="31.5">
      <c r="A354" s="807" t="s">
        <v>1190</v>
      </c>
      <c r="B354" s="187" t="s">
        <v>117</v>
      </c>
      <c r="C354" s="187" t="s">
        <v>217</v>
      </c>
      <c r="D354" s="187" t="s">
        <v>216</v>
      </c>
      <c r="E354" s="190" t="s">
        <v>1183</v>
      </c>
      <c r="F354" s="187"/>
      <c r="G354" s="195">
        <f>G355+G357</f>
        <v>491.32652999999999</v>
      </c>
      <c r="H354" s="195">
        <f>H355+H357</f>
        <v>481.5</v>
      </c>
    </row>
    <row r="355" spans="1:9" s="208" customFormat="1" ht="47.25">
      <c r="A355" s="170" t="s">
        <v>741</v>
      </c>
      <c r="B355" s="96" t="s">
        <v>117</v>
      </c>
      <c r="C355" s="96" t="s">
        <v>217</v>
      </c>
      <c r="D355" s="96" t="s">
        <v>216</v>
      </c>
      <c r="E355" s="205" t="s">
        <v>1185</v>
      </c>
      <c r="G355" s="200">
        <f>G356</f>
        <v>481.5</v>
      </c>
      <c r="H355" s="491">
        <f>H356</f>
        <v>481.5</v>
      </c>
    </row>
    <row r="356" spans="1:9">
      <c r="A356" s="76" t="s">
        <v>271</v>
      </c>
      <c r="B356" s="96" t="s">
        <v>117</v>
      </c>
      <c r="C356" s="96" t="s">
        <v>217</v>
      </c>
      <c r="D356" s="96" t="s">
        <v>216</v>
      </c>
      <c r="E356" s="205" t="s">
        <v>1185</v>
      </c>
      <c r="F356" s="205" t="s">
        <v>268</v>
      </c>
      <c r="G356" s="149">
        <v>481.5</v>
      </c>
      <c r="H356" s="491">
        <f>G356</f>
        <v>481.5</v>
      </c>
    </row>
    <row r="357" spans="1:9" ht="63">
      <c r="A357" s="170" t="s">
        <v>742</v>
      </c>
      <c r="B357" s="96" t="s">
        <v>117</v>
      </c>
      <c r="C357" s="96" t="s">
        <v>217</v>
      </c>
      <c r="D357" s="96" t="s">
        <v>216</v>
      </c>
      <c r="E357" s="205" t="s">
        <v>1185</v>
      </c>
      <c r="F357" s="208"/>
      <c r="G357" s="149">
        <f>G358</f>
        <v>9.82653</v>
      </c>
      <c r="H357" s="491">
        <v>0</v>
      </c>
    </row>
    <row r="358" spans="1:9">
      <c r="A358" s="76" t="s">
        <v>518</v>
      </c>
      <c r="B358" s="96" t="s">
        <v>117</v>
      </c>
      <c r="C358" s="96" t="s">
        <v>217</v>
      </c>
      <c r="D358" s="96" t="s">
        <v>216</v>
      </c>
      <c r="E358" s="205" t="s">
        <v>1185</v>
      </c>
      <c r="F358" s="205" t="s">
        <v>268</v>
      </c>
      <c r="G358" s="149">
        <v>9.82653</v>
      </c>
      <c r="H358" s="491">
        <v>0</v>
      </c>
    </row>
    <row r="359" spans="1:9">
      <c r="A359" s="339" t="s">
        <v>477</v>
      </c>
      <c r="B359" s="150" t="s">
        <v>117</v>
      </c>
      <c r="C359" s="341" t="s">
        <v>217</v>
      </c>
      <c r="D359" s="341" t="s">
        <v>218</v>
      </c>
      <c r="E359" s="341"/>
      <c r="F359" s="341"/>
      <c r="G359" s="123">
        <f>G360</f>
        <v>36884.741690000003</v>
      </c>
      <c r="H359" s="123">
        <f>H360</f>
        <v>27513.795200000004</v>
      </c>
      <c r="I359" s="85"/>
    </row>
    <row r="360" spans="1:9" ht="47.25">
      <c r="A360" s="174" t="s">
        <v>776</v>
      </c>
      <c r="B360" s="150" t="s">
        <v>117</v>
      </c>
      <c r="C360" s="185" t="s">
        <v>217</v>
      </c>
      <c r="D360" s="185" t="s">
        <v>218</v>
      </c>
      <c r="E360" s="185" t="s">
        <v>940</v>
      </c>
      <c r="F360" s="185"/>
      <c r="G360" s="194">
        <f t="shared" ref="G360:H360" si="12">G361</f>
        <v>36884.741690000003</v>
      </c>
      <c r="H360" s="194">
        <f t="shared" si="12"/>
        <v>27513.795200000004</v>
      </c>
    </row>
    <row r="361" spans="1:9" ht="47.25">
      <c r="A361" s="179" t="s">
        <v>456</v>
      </c>
      <c r="B361" s="150" t="s">
        <v>117</v>
      </c>
      <c r="C361" s="187" t="s">
        <v>217</v>
      </c>
      <c r="D361" s="187" t="s">
        <v>218</v>
      </c>
      <c r="E361" s="187" t="s">
        <v>953</v>
      </c>
      <c r="F361" s="187"/>
      <c r="G361" s="195">
        <f>G362</f>
        <v>36884.741690000003</v>
      </c>
      <c r="H361" s="195">
        <f>H362</f>
        <v>27513.795200000004</v>
      </c>
    </row>
    <row r="362" spans="1:9" ht="56.25" customHeight="1">
      <c r="A362" s="179" t="s">
        <v>954</v>
      </c>
      <c r="B362" s="150" t="s">
        <v>117</v>
      </c>
      <c r="C362" s="187" t="s">
        <v>217</v>
      </c>
      <c r="D362" s="187" t="s">
        <v>218</v>
      </c>
      <c r="E362" s="187" t="s">
        <v>955</v>
      </c>
      <c r="F362" s="187"/>
      <c r="G362" s="195">
        <f>G363+G365+G368+G369+G371+G375+G373</f>
        <v>36884.741690000003</v>
      </c>
      <c r="H362" s="195">
        <f>H363+H365+H368+H369+H371+H375+H373</f>
        <v>27513.795200000004</v>
      </c>
    </row>
    <row r="363" spans="1:9" ht="31.5">
      <c r="A363" s="152" t="s">
        <v>187</v>
      </c>
      <c r="B363" s="150" t="s">
        <v>117</v>
      </c>
      <c r="C363" s="159" t="s">
        <v>217</v>
      </c>
      <c r="D363" s="159" t="s">
        <v>218</v>
      </c>
      <c r="E363" s="150" t="s">
        <v>956</v>
      </c>
      <c r="F363" s="159"/>
      <c r="G363" s="122">
        <f>G364</f>
        <v>9642.8000000000011</v>
      </c>
      <c r="H363" s="122">
        <f>H364</f>
        <v>9642.8000000000011</v>
      </c>
    </row>
    <row r="364" spans="1:9">
      <c r="A364" s="170" t="s">
        <v>271</v>
      </c>
      <c r="B364" s="150" t="s">
        <v>117</v>
      </c>
      <c r="C364" s="150" t="s">
        <v>217</v>
      </c>
      <c r="D364" s="150" t="s">
        <v>218</v>
      </c>
      <c r="E364" s="150" t="s">
        <v>956</v>
      </c>
      <c r="F364" s="150" t="s">
        <v>268</v>
      </c>
      <c r="G364" s="149">
        <f>9737.2-94.4</f>
        <v>9642.8000000000011</v>
      </c>
      <c r="H364" s="493">
        <f>G364</f>
        <v>9642.8000000000011</v>
      </c>
    </row>
    <row r="365" spans="1:9" ht="47.25">
      <c r="A365" s="152" t="s">
        <v>732</v>
      </c>
      <c r="B365" s="150" t="s">
        <v>117</v>
      </c>
      <c r="C365" s="159" t="s">
        <v>217</v>
      </c>
      <c r="D365" s="159" t="s">
        <v>218</v>
      </c>
      <c r="E365" s="150" t="s">
        <v>956</v>
      </c>
      <c r="F365" s="159"/>
      <c r="G365" s="122">
        <f>G366</f>
        <v>6241.18</v>
      </c>
      <c r="H365" s="122">
        <f>H366</f>
        <v>0</v>
      </c>
    </row>
    <row r="366" spans="1:9">
      <c r="A366" s="170" t="s">
        <v>271</v>
      </c>
      <c r="B366" s="150" t="s">
        <v>117</v>
      </c>
      <c r="C366" s="150" t="s">
        <v>217</v>
      </c>
      <c r="D366" s="150" t="s">
        <v>218</v>
      </c>
      <c r="E366" s="150" t="s">
        <v>956</v>
      </c>
      <c r="F366" s="150" t="s">
        <v>268</v>
      </c>
      <c r="G366" s="149">
        <v>6241.18</v>
      </c>
      <c r="H366" s="493">
        <v>0</v>
      </c>
    </row>
    <row r="367" spans="1:9" ht="31.5">
      <c r="A367" s="207" t="s">
        <v>388</v>
      </c>
      <c r="B367" s="150" t="s">
        <v>117</v>
      </c>
      <c r="C367" s="150" t="s">
        <v>217</v>
      </c>
      <c r="D367" s="150" t="s">
        <v>218</v>
      </c>
      <c r="E367" s="150" t="s">
        <v>957</v>
      </c>
      <c r="F367" s="150"/>
      <c r="G367" s="149">
        <f>G368</f>
        <v>3117.1419999999998</v>
      </c>
      <c r="H367" s="493"/>
    </row>
    <row r="368" spans="1:9" ht="47.25">
      <c r="A368" s="170" t="s">
        <v>270</v>
      </c>
      <c r="B368" s="150" t="s">
        <v>117</v>
      </c>
      <c r="C368" s="150" t="s">
        <v>217</v>
      </c>
      <c r="D368" s="150" t="s">
        <v>218</v>
      </c>
      <c r="E368" s="150" t="s">
        <v>957</v>
      </c>
      <c r="F368" s="150" t="s">
        <v>420</v>
      </c>
      <c r="G368" s="149">
        <f>9326.322-6241.18+32</f>
        <v>3117.1419999999998</v>
      </c>
      <c r="H368" s="493">
        <v>0</v>
      </c>
    </row>
    <row r="369" spans="1:11" ht="31.5" hidden="1">
      <c r="A369" s="170" t="s">
        <v>797</v>
      </c>
      <c r="B369" s="150" t="s">
        <v>117</v>
      </c>
      <c r="C369" s="150" t="s">
        <v>217</v>
      </c>
      <c r="D369" s="150" t="s">
        <v>218</v>
      </c>
      <c r="E369" s="150" t="s">
        <v>958</v>
      </c>
      <c r="F369" s="150"/>
      <c r="G369" s="149">
        <f>G370</f>
        <v>0</v>
      </c>
      <c r="H369" s="493">
        <f>H370</f>
        <v>0</v>
      </c>
    </row>
    <row r="370" spans="1:11" hidden="1">
      <c r="A370" s="170" t="s">
        <v>271</v>
      </c>
      <c r="B370" s="150" t="s">
        <v>117</v>
      </c>
      <c r="C370" s="150" t="s">
        <v>217</v>
      </c>
      <c r="D370" s="150" t="s">
        <v>218</v>
      </c>
      <c r="E370" s="150" t="s">
        <v>958</v>
      </c>
      <c r="F370" s="150" t="s">
        <v>268</v>
      </c>
      <c r="G370" s="149">
        <f>618.6-618.6</f>
        <v>0</v>
      </c>
      <c r="H370" s="493">
        <f>G370</f>
        <v>0</v>
      </c>
    </row>
    <row r="371" spans="1:11" ht="47.25">
      <c r="A371" s="170" t="s">
        <v>818</v>
      </c>
      <c r="B371" s="150" t="s">
        <v>117</v>
      </c>
      <c r="C371" s="150" t="s">
        <v>217</v>
      </c>
      <c r="D371" s="150" t="s">
        <v>218</v>
      </c>
      <c r="E371" s="150" t="s">
        <v>958</v>
      </c>
      <c r="F371" s="150"/>
      <c r="G371" s="149">
        <f>G372</f>
        <v>12.62449</v>
      </c>
      <c r="H371" s="493">
        <f>H372</f>
        <v>0</v>
      </c>
    </row>
    <row r="372" spans="1:11">
      <c r="A372" s="170" t="s">
        <v>271</v>
      </c>
      <c r="B372" s="150" t="s">
        <v>117</v>
      </c>
      <c r="C372" s="150" t="s">
        <v>217</v>
      </c>
      <c r="D372" s="150" t="s">
        <v>218</v>
      </c>
      <c r="E372" s="150" t="s">
        <v>958</v>
      </c>
      <c r="F372" s="150" t="s">
        <v>268</v>
      </c>
      <c r="G372" s="149">
        <v>12.62449</v>
      </c>
      <c r="H372" s="493">
        <v>0</v>
      </c>
    </row>
    <row r="373" spans="1:11" ht="63">
      <c r="A373" s="74" t="s">
        <v>918</v>
      </c>
      <c r="B373" s="150" t="s">
        <v>117</v>
      </c>
      <c r="C373" s="150" t="s">
        <v>217</v>
      </c>
      <c r="D373" s="150" t="s">
        <v>218</v>
      </c>
      <c r="E373" s="150" t="s">
        <v>1187</v>
      </c>
      <c r="F373" s="150"/>
      <c r="G373" s="149">
        <f>G374</f>
        <v>370.99520000000001</v>
      </c>
      <c r="H373" s="493">
        <f>H374</f>
        <v>370.99520000000001</v>
      </c>
    </row>
    <row r="374" spans="1:11">
      <c r="A374" s="170" t="s">
        <v>271</v>
      </c>
      <c r="B374" s="150" t="s">
        <v>117</v>
      </c>
      <c r="C374" s="150" t="s">
        <v>217</v>
      </c>
      <c r="D374" s="150" t="s">
        <v>218</v>
      </c>
      <c r="E374" s="150" t="s">
        <v>1187</v>
      </c>
      <c r="F374" s="150" t="s">
        <v>268</v>
      </c>
      <c r="G374" s="149">
        <v>370.99520000000001</v>
      </c>
      <c r="H374" s="493">
        <f>G374</f>
        <v>370.99520000000001</v>
      </c>
    </row>
    <row r="375" spans="1:11" ht="47.25">
      <c r="A375" s="170" t="s">
        <v>879</v>
      </c>
      <c r="B375" s="150" t="s">
        <v>117</v>
      </c>
      <c r="C375" s="150" t="s">
        <v>217</v>
      </c>
      <c r="D375" s="150" t="s">
        <v>218</v>
      </c>
      <c r="E375" s="205" t="s">
        <v>888</v>
      </c>
      <c r="F375" s="150"/>
      <c r="G375" s="149">
        <f>G376</f>
        <v>17500</v>
      </c>
      <c r="H375" s="493">
        <f>H376</f>
        <v>17500</v>
      </c>
    </row>
    <row r="376" spans="1:11">
      <c r="A376" s="170" t="s">
        <v>271</v>
      </c>
      <c r="B376" s="150" t="s">
        <v>117</v>
      </c>
      <c r="C376" s="150" t="s">
        <v>217</v>
      </c>
      <c r="D376" s="150" t="s">
        <v>218</v>
      </c>
      <c r="E376" s="205" t="s">
        <v>888</v>
      </c>
      <c r="F376" s="150" t="s">
        <v>268</v>
      </c>
      <c r="G376" s="149">
        <v>17500</v>
      </c>
      <c r="H376" s="493">
        <f>G376</f>
        <v>17500</v>
      </c>
    </row>
    <row r="377" spans="1:11" s="160" customFormat="1">
      <c r="A377" s="342" t="s">
        <v>401</v>
      </c>
      <c r="B377" s="150" t="s">
        <v>117</v>
      </c>
      <c r="C377" s="253" t="s">
        <v>217</v>
      </c>
      <c r="D377" s="253" t="s">
        <v>217</v>
      </c>
      <c r="E377" s="253"/>
      <c r="F377" s="253"/>
      <c r="G377" s="343">
        <f t="shared" ref="G377:H379" si="13">G378</f>
        <v>8187.7640199999996</v>
      </c>
      <c r="H377" s="343">
        <f t="shared" si="13"/>
        <v>7114.3300200000003</v>
      </c>
      <c r="I377" s="645">
        <f>G377-H377</f>
        <v>1073.4339999999993</v>
      </c>
    </row>
    <row r="378" spans="1:11" s="91" customFormat="1" ht="47.25">
      <c r="A378" s="174" t="s">
        <v>776</v>
      </c>
      <c r="B378" s="150" t="s">
        <v>117</v>
      </c>
      <c r="C378" s="185" t="s">
        <v>217</v>
      </c>
      <c r="D378" s="185" t="s">
        <v>217</v>
      </c>
      <c r="E378" s="185" t="s">
        <v>940</v>
      </c>
      <c r="F378" s="185"/>
      <c r="G378" s="194">
        <f t="shared" si="13"/>
        <v>8187.7640199999996</v>
      </c>
      <c r="H378" s="194">
        <f t="shared" si="13"/>
        <v>7114.3300200000003</v>
      </c>
      <c r="I378" s="884">
        <f>G378-H378</f>
        <v>1073.4339999999993</v>
      </c>
      <c r="J378" s="885"/>
      <c r="K378" s="885"/>
    </row>
    <row r="379" spans="1:11" s="91" customFormat="1" ht="31.5">
      <c r="A379" s="179" t="s">
        <v>455</v>
      </c>
      <c r="B379" s="150" t="s">
        <v>117</v>
      </c>
      <c r="C379" s="181" t="s">
        <v>217</v>
      </c>
      <c r="D379" s="181" t="s">
        <v>217</v>
      </c>
      <c r="E379" s="181" t="s">
        <v>959</v>
      </c>
      <c r="F379" s="181"/>
      <c r="G379" s="182">
        <f t="shared" si="13"/>
        <v>8187.7640199999996</v>
      </c>
      <c r="H379" s="182">
        <f t="shared" si="13"/>
        <v>7114.3300200000003</v>
      </c>
      <c r="I379" s="350"/>
      <c r="J379" s="350"/>
      <c r="K379" s="350"/>
    </row>
    <row r="380" spans="1:11" s="91" customFormat="1" ht="31.5">
      <c r="A380" s="179" t="s">
        <v>952</v>
      </c>
      <c r="B380" s="150" t="s">
        <v>117</v>
      </c>
      <c r="C380" s="181" t="s">
        <v>217</v>
      </c>
      <c r="D380" s="181" t="s">
        <v>217</v>
      </c>
      <c r="E380" s="181" t="s">
        <v>960</v>
      </c>
      <c r="F380" s="181"/>
      <c r="G380" s="182">
        <f>G381+G384+G386+G388+G390+G382</f>
        <v>8187.7640199999996</v>
      </c>
      <c r="H380" s="182">
        <f>H381+H384+H386+H388+H390+H382</f>
        <v>7114.3300200000003</v>
      </c>
      <c r="I380" s="350"/>
      <c r="J380" s="350"/>
      <c r="K380" s="350"/>
    </row>
    <row r="381" spans="1:11" ht="47.25">
      <c r="A381" s="76" t="s">
        <v>349</v>
      </c>
      <c r="B381" s="150" t="s">
        <v>117</v>
      </c>
      <c r="C381" s="96" t="s">
        <v>217</v>
      </c>
      <c r="D381" s="96" t="s">
        <v>217</v>
      </c>
      <c r="E381" s="205" t="s">
        <v>961</v>
      </c>
      <c r="F381" s="96" t="s">
        <v>421</v>
      </c>
      <c r="G381" s="109">
        <v>1058.434</v>
      </c>
      <c r="H381" s="395">
        <v>0</v>
      </c>
    </row>
    <row r="382" spans="1:11" ht="63">
      <c r="A382" s="74" t="s">
        <v>918</v>
      </c>
      <c r="B382" s="150" t="s">
        <v>117</v>
      </c>
      <c r="C382" s="96" t="s">
        <v>217</v>
      </c>
      <c r="D382" s="96" t="s">
        <v>217</v>
      </c>
      <c r="E382" s="205" t="s">
        <v>1188</v>
      </c>
      <c r="F382" s="96"/>
      <c r="G382" s="109">
        <f>G383</f>
        <v>190.03002000000001</v>
      </c>
      <c r="H382" s="395">
        <f>H383</f>
        <v>190.03002000000001</v>
      </c>
    </row>
    <row r="383" spans="1:11">
      <c r="A383" s="170" t="s">
        <v>350</v>
      </c>
      <c r="B383" s="150" t="s">
        <v>117</v>
      </c>
      <c r="C383" s="96" t="s">
        <v>217</v>
      </c>
      <c r="D383" s="96" t="s">
        <v>217</v>
      </c>
      <c r="E383" s="205" t="s">
        <v>1188</v>
      </c>
      <c r="F383" s="96" t="s">
        <v>351</v>
      </c>
      <c r="G383" s="109">
        <v>190.03002000000001</v>
      </c>
      <c r="H383" s="395">
        <f>G383</f>
        <v>190.03002000000001</v>
      </c>
    </row>
    <row r="384" spans="1:11" ht="156.75" customHeight="1">
      <c r="A384" s="77" t="s">
        <v>743</v>
      </c>
      <c r="B384" s="150" t="s">
        <v>117</v>
      </c>
      <c r="C384" s="95" t="s">
        <v>217</v>
      </c>
      <c r="D384" s="95" t="s">
        <v>217</v>
      </c>
      <c r="E384" s="96" t="s">
        <v>962</v>
      </c>
      <c r="F384" s="95"/>
      <c r="G384" s="108">
        <f>G385</f>
        <v>3153.9</v>
      </c>
      <c r="H384" s="108">
        <f>H385</f>
        <v>3153.9</v>
      </c>
    </row>
    <row r="385" spans="1:9" ht="31.5">
      <c r="A385" s="77" t="s">
        <v>447</v>
      </c>
      <c r="B385" s="150" t="s">
        <v>117</v>
      </c>
      <c r="C385" s="96" t="s">
        <v>217</v>
      </c>
      <c r="D385" s="96" t="s">
        <v>217</v>
      </c>
      <c r="E385" s="96" t="s">
        <v>962</v>
      </c>
      <c r="F385" s="96" t="s">
        <v>354</v>
      </c>
      <c r="G385" s="109">
        <f>3655-501.1</f>
        <v>3153.9</v>
      </c>
      <c r="H385" s="109">
        <f>G385</f>
        <v>3153.9</v>
      </c>
    </row>
    <row r="386" spans="1:9" ht="148.5" customHeight="1">
      <c r="A386" s="77" t="s">
        <v>820</v>
      </c>
      <c r="B386" s="150" t="s">
        <v>117</v>
      </c>
      <c r="C386" s="96" t="s">
        <v>217</v>
      </c>
      <c r="D386" s="96" t="s">
        <v>217</v>
      </c>
      <c r="E386" s="96" t="s">
        <v>962</v>
      </c>
      <c r="F386" s="96"/>
      <c r="G386" s="109">
        <f>G387</f>
        <v>15</v>
      </c>
      <c r="H386" s="109">
        <f>H387</f>
        <v>0</v>
      </c>
    </row>
    <row r="387" spans="1:9">
      <c r="A387" s="76" t="s">
        <v>271</v>
      </c>
      <c r="B387" s="150" t="s">
        <v>117</v>
      </c>
      <c r="C387" s="96" t="s">
        <v>217</v>
      </c>
      <c r="D387" s="96" t="s">
        <v>217</v>
      </c>
      <c r="E387" s="96" t="s">
        <v>962</v>
      </c>
      <c r="F387" s="96" t="s">
        <v>268</v>
      </c>
      <c r="G387" s="109">
        <v>15</v>
      </c>
      <c r="H387" s="109">
        <v>0</v>
      </c>
    </row>
    <row r="388" spans="1:9" s="91" customFormat="1" ht="31.5">
      <c r="A388" s="77" t="s">
        <v>915</v>
      </c>
      <c r="B388" s="150" t="s">
        <v>117</v>
      </c>
      <c r="C388" s="95" t="s">
        <v>217</v>
      </c>
      <c r="D388" s="95" t="s">
        <v>217</v>
      </c>
      <c r="E388" s="95" t="s">
        <v>963</v>
      </c>
      <c r="F388" s="95"/>
      <c r="G388" s="108">
        <f>G389</f>
        <v>3714.7</v>
      </c>
      <c r="H388" s="108">
        <f>H389</f>
        <v>3714.7</v>
      </c>
    </row>
    <row r="389" spans="1:9" ht="31.5">
      <c r="A389" s="77" t="s">
        <v>447</v>
      </c>
      <c r="B389" s="150" t="s">
        <v>117</v>
      </c>
      <c r="C389" s="96" t="s">
        <v>217</v>
      </c>
      <c r="D389" s="96" t="s">
        <v>217</v>
      </c>
      <c r="E389" s="96" t="s">
        <v>963</v>
      </c>
      <c r="F389" s="96" t="s">
        <v>354</v>
      </c>
      <c r="G389" s="109">
        <v>3714.7</v>
      </c>
      <c r="H389" s="395">
        <f>G389</f>
        <v>3714.7</v>
      </c>
    </row>
    <row r="390" spans="1:9" ht="47.25">
      <c r="A390" s="76" t="s">
        <v>916</v>
      </c>
      <c r="B390" s="150" t="s">
        <v>117</v>
      </c>
      <c r="C390" s="96" t="s">
        <v>217</v>
      </c>
      <c r="D390" s="96" t="s">
        <v>217</v>
      </c>
      <c r="E390" s="96" t="s">
        <v>964</v>
      </c>
      <c r="F390" s="96"/>
      <c r="G390" s="109">
        <f>G391+G392+G393</f>
        <v>55.7</v>
      </c>
      <c r="H390" s="109">
        <f>H391+H392+H393</f>
        <v>55.7</v>
      </c>
    </row>
    <row r="391" spans="1:9">
      <c r="A391" s="76" t="s">
        <v>429</v>
      </c>
      <c r="B391" s="150" t="s">
        <v>117</v>
      </c>
      <c r="C391" s="96" t="s">
        <v>217</v>
      </c>
      <c r="D391" s="96" t="s">
        <v>217</v>
      </c>
      <c r="E391" s="96" t="s">
        <v>964</v>
      </c>
      <c r="F391" s="96" t="s">
        <v>438</v>
      </c>
      <c r="G391" s="109">
        <v>32.649000000000001</v>
      </c>
      <c r="H391" s="109">
        <f>G391</f>
        <v>32.649000000000001</v>
      </c>
    </row>
    <row r="392" spans="1:9" ht="47.25">
      <c r="A392" s="196" t="s">
        <v>430</v>
      </c>
      <c r="B392" s="150" t="s">
        <v>117</v>
      </c>
      <c r="C392" s="96" t="s">
        <v>217</v>
      </c>
      <c r="D392" s="96" t="s">
        <v>217</v>
      </c>
      <c r="E392" s="96" t="s">
        <v>964</v>
      </c>
      <c r="F392" s="96" t="s">
        <v>440</v>
      </c>
      <c r="G392" s="109">
        <v>9.8789999999999996</v>
      </c>
      <c r="H392" s="109">
        <f>G392</f>
        <v>9.8789999999999996</v>
      </c>
    </row>
    <row r="393" spans="1:9" ht="31.5">
      <c r="A393" s="153" t="s">
        <v>275</v>
      </c>
      <c r="B393" s="150" t="s">
        <v>117</v>
      </c>
      <c r="C393" s="96" t="s">
        <v>217</v>
      </c>
      <c r="D393" s="96" t="s">
        <v>217</v>
      </c>
      <c r="E393" s="96" t="s">
        <v>964</v>
      </c>
      <c r="F393" s="96" t="s">
        <v>413</v>
      </c>
      <c r="G393" s="109">
        <v>13.172000000000001</v>
      </c>
      <c r="H393" s="109">
        <f>G393</f>
        <v>13.172000000000001</v>
      </c>
    </row>
    <row r="394" spans="1:9" s="91" customFormat="1">
      <c r="A394" s="236" t="s">
        <v>409</v>
      </c>
      <c r="B394" s="150" t="s">
        <v>117</v>
      </c>
      <c r="C394" s="237" t="s">
        <v>217</v>
      </c>
      <c r="D394" s="237" t="s">
        <v>219</v>
      </c>
      <c r="E394" s="237"/>
      <c r="F394" s="237"/>
      <c r="G394" s="238">
        <f>G395+G399+G402</f>
        <v>21791.621769999998</v>
      </c>
      <c r="H394" s="238">
        <f>H395+H399+H402</f>
        <v>6400.3065500000002</v>
      </c>
      <c r="I394" s="644">
        <f>G394-H394</f>
        <v>15391.315219999997</v>
      </c>
    </row>
    <row r="395" spans="1:9" s="91" customFormat="1" ht="47.25">
      <c r="A395" s="174" t="s">
        <v>776</v>
      </c>
      <c r="B395" s="185" t="s">
        <v>117</v>
      </c>
      <c r="C395" s="185" t="s">
        <v>217</v>
      </c>
      <c r="D395" s="185" t="s">
        <v>219</v>
      </c>
      <c r="E395" s="185" t="s">
        <v>940</v>
      </c>
      <c r="F395" s="185"/>
      <c r="G395" s="194">
        <f t="shared" ref="G395:H397" si="14">G396</f>
        <v>300</v>
      </c>
      <c r="H395" s="194">
        <f t="shared" si="14"/>
        <v>0</v>
      </c>
    </row>
    <row r="396" spans="1:9" s="91" customFormat="1" ht="42" customHeight="1">
      <c r="A396" s="179" t="s">
        <v>454</v>
      </c>
      <c r="B396" s="187" t="s">
        <v>117</v>
      </c>
      <c r="C396" s="181" t="s">
        <v>217</v>
      </c>
      <c r="D396" s="181" t="s">
        <v>219</v>
      </c>
      <c r="E396" s="430" t="s">
        <v>965</v>
      </c>
      <c r="F396" s="181"/>
      <c r="G396" s="182">
        <f t="shared" si="14"/>
        <v>300</v>
      </c>
      <c r="H396" s="182">
        <f t="shared" si="14"/>
        <v>0</v>
      </c>
    </row>
    <row r="397" spans="1:9" s="91" customFormat="1" ht="38.25" customHeight="1">
      <c r="A397" s="179" t="s">
        <v>966</v>
      </c>
      <c r="B397" s="187" t="s">
        <v>117</v>
      </c>
      <c r="C397" s="181" t="s">
        <v>217</v>
      </c>
      <c r="D397" s="181" t="s">
        <v>219</v>
      </c>
      <c r="E397" s="430" t="s">
        <v>967</v>
      </c>
      <c r="F397" s="181"/>
      <c r="G397" s="182">
        <f t="shared" si="14"/>
        <v>300</v>
      </c>
      <c r="H397" s="182">
        <f t="shared" si="14"/>
        <v>0</v>
      </c>
    </row>
    <row r="398" spans="1:9" s="91" customFormat="1" ht="31.5">
      <c r="A398" s="248" t="s">
        <v>275</v>
      </c>
      <c r="B398" s="150" t="s">
        <v>117</v>
      </c>
      <c r="C398" s="150" t="s">
        <v>217</v>
      </c>
      <c r="D398" s="150" t="s">
        <v>219</v>
      </c>
      <c r="E398" s="150" t="s">
        <v>1047</v>
      </c>
      <c r="F398" s="150" t="s">
        <v>413</v>
      </c>
      <c r="G398" s="122">
        <v>300</v>
      </c>
      <c r="H398" s="122">
        <v>0</v>
      </c>
    </row>
    <row r="399" spans="1:9" s="92" customFormat="1" ht="31.5">
      <c r="A399" s="681" t="s">
        <v>870</v>
      </c>
      <c r="B399" s="185" t="s">
        <v>117</v>
      </c>
      <c r="C399" s="176" t="s">
        <v>217</v>
      </c>
      <c r="D399" s="176" t="s">
        <v>219</v>
      </c>
      <c r="E399" s="687" t="s">
        <v>1050</v>
      </c>
      <c r="F399" s="176"/>
      <c r="G399" s="194">
        <f>G400</f>
        <v>50</v>
      </c>
      <c r="H399" s="178">
        <f>H400</f>
        <v>0</v>
      </c>
    </row>
    <row r="400" spans="1:9" s="92" customFormat="1" ht="62.25" customHeight="1">
      <c r="A400" s="163" t="s">
        <v>1013</v>
      </c>
      <c r="B400" s="192">
        <v>936</v>
      </c>
      <c r="C400" s="185" t="s">
        <v>217</v>
      </c>
      <c r="D400" s="185" t="s">
        <v>219</v>
      </c>
      <c r="E400" s="687" t="s">
        <v>987</v>
      </c>
      <c r="F400" s="176"/>
      <c r="G400" s="194">
        <f>G401</f>
        <v>50</v>
      </c>
      <c r="H400" s="178">
        <f>H401</f>
        <v>0</v>
      </c>
    </row>
    <row r="401" spans="1:8" s="90" customFormat="1" ht="31.5">
      <c r="A401" s="153" t="s">
        <v>275</v>
      </c>
      <c r="B401" s="150" t="s">
        <v>117</v>
      </c>
      <c r="C401" s="96" t="s">
        <v>217</v>
      </c>
      <c r="D401" s="96" t="s">
        <v>219</v>
      </c>
      <c r="E401" s="682" t="s">
        <v>871</v>
      </c>
      <c r="F401" s="96" t="s">
        <v>413</v>
      </c>
      <c r="G401" s="109">
        <v>50</v>
      </c>
      <c r="H401" s="109">
        <v>0</v>
      </c>
    </row>
    <row r="402" spans="1:8" s="90" customFormat="1" ht="50.25" customHeight="1">
      <c r="A402" s="174" t="s">
        <v>776</v>
      </c>
      <c r="B402" s="185" t="s">
        <v>117</v>
      </c>
      <c r="C402" s="185" t="s">
        <v>217</v>
      </c>
      <c r="D402" s="185" t="s">
        <v>219</v>
      </c>
      <c r="E402" s="185" t="s">
        <v>940</v>
      </c>
      <c r="F402" s="185"/>
      <c r="G402" s="194">
        <f>G403+G429</f>
        <v>21441.621769999998</v>
      </c>
      <c r="H402" s="194">
        <f>H403</f>
        <v>6400.3065500000002</v>
      </c>
    </row>
    <row r="403" spans="1:8" s="90" customFormat="1" ht="47.25">
      <c r="A403" s="153" t="s">
        <v>968</v>
      </c>
      <c r="B403" s="150" t="s">
        <v>117</v>
      </c>
      <c r="C403" s="95" t="s">
        <v>217</v>
      </c>
      <c r="D403" s="95" t="s">
        <v>219</v>
      </c>
      <c r="E403" s="682" t="s">
        <v>970</v>
      </c>
      <c r="F403" s="96"/>
      <c r="G403" s="109">
        <f>G404</f>
        <v>21341.621769999998</v>
      </c>
      <c r="H403" s="109">
        <f>H404</f>
        <v>6400.3065500000002</v>
      </c>
    </row>
    <row r="404" spans="1:8" s="90" customFormat="1" ht="71.25" customHeight="1">
      <c r="A404" s="153" t="s">
        <v>969</v>
      </c>
      <c r="B404" s="150" t="s">
        <v>117</v>
      </c>
      <c r="C404" s="95" t="s">
        <v>217</v>
      </c>
      <c r="D404" s="95" t="s">
        <v>219</v>
      </c>
      <c r="E404" s="682" t="s">
        <v>971</v>
      </c>
      <c r="F404" s="96"/>
      <c r="G404" s="109">
        <f>G405+G409+G417+G420+G423+G426</f>
        <v>21341.621769999998</v>
      </c>
      <c r="H404" s="109">
        <f>H405+H409+H417+H420+H423</f>
        <v>6400.3065500000002</v>
      </c>
    </row>
    <row r="405" spans="1:8" ht="31.5">
      <c r="A405" s="77" t="s">
        <v>424</v>
      </c>
      <c r="B405" s="150" t="s">
        <v>117</v>
      </c>
      <c r="C405" s="95" t="s">
        <v>217</v>
      </c>
      <c r="D405" s="95" t="s">
        <v>219</v>
      </c>
      <c r="E405" s="95" t="s">
        <v>972</v>
      </c>
      <c r="F405" s="95"/>
      <c r="G405" s="109">
        <f t="shared" ref="G405:H405" si="15">G406</f>
        <v>1628.77</v>
      </c>
      <c r="H405" s="109">
        <f t="shared" si="15"/>
        <v>0</v>
      </c>
    </row>
    <row r="406" spans="1:8" ht="31.5">
      <c r="A406" s="74" t="s">
        <v>394</v>
      </c>
      <c r="B406" s="150" t="s">
        <v>117</v>
      </c>
      <c r="C406" s="95" t="s">
        <v>217</v>
      </c>
      <c r="D406" s="95" t="s">
        <v>219</v>
      </c>
      <c r="E406" s="95" t="s">
        <v>973</v>
      </c>
      <c r="F406" s="95"/>
      <c r="G406" s="109">
        <f>G407+G408</f>
        <v>1628.77</v>
      </c>
      <c r="H406" s="109">
        <f>H407+H408</f>
        <v>0</v>
      </c>
    </row>
    <row r="407" spans="1:8">
      <c r="A407" s="76" t="s">
        <v>429</v>
      </c>
      <c r="B407" s="150" t="s">
        <v>117</v>
      </c>
      <c r="C407" s="96" t="s">
        <v>217</v>
      </c>
      <c r="D407" s="96" t="s">
        <v>219</v>
      </c>
      <c r="E407" s="95" t="s">
        <v>973</v>
      </c>
      <c r="F407" s="98">
        <v>121</v>
      </c>
      <c r="G407" s="109">
        <v>1250.97542</v>
      </c>
      <c r="H407" s="109">
        <v>0</v>
      </c>
    </row>
    <row r="408" spans="1:8" ht="47.25">
      <c r="A408" s="196" t="s">
        <v>430</v>
      </c>
      <c r="B408" s="150" t="s">
        <v>117</v>
      </c>
      <c r="C408" s="96" t="s">
        <v>217</v>
      </c>
      <c r="D408" s="96" t="s">
        <v>219</v>
      </c>
      <c r="E408" s="95" t="s">
        <v>973</v>
      </c>
      <c r="F408" s="98">
        <v>129</v>
      </c>
      <c r="G408" s="109">
        <v>377.79458</v>
      </c>
      <c r="H408" s="109">
        <v>0</v>
      </c>
    </row>
    <row r="409" spans="1:8" ht="47.25">
      <c r="A409" s="77" t="s">
        <v>389</v>
      </c>
      <c r="B409" s="150" t="s">
        <v>117</v>
      </c>
      <c r="C409" s="95" t="s">
        <v>217</v>
      </c>
      <c r="D409" s="95" t="s">
        <v>219</v>
      </c>
      <c r="E409" s="95" t="s">
        <v>1003</v>
      </c>
      <c r="F409" s="95"/>
      <c r="G409" s="149">
        <f>G410+G411+G412+G413+G414+G415+G416</f>
        <v>12868.63</v>
      </c>
      <c r="H409" s="149">
        <f>H410+H411+H412+H413+H414+H415+H416</f>
        <v>0</v>
      </c>
    </row>
    <row r="410" spans="1:8" s="208" customFormat="1">
      <c r="A410" s="207" t="s">
        <v>650</v>
      </c>
      <c r="B410" s="150" t="s">
        <v>117</v>
      </c>
      <c r="C410" s="205" t="s">
        <v>217</v>
      </c>
      <c r="D410" s="205" t="s">
        <v>219</v>
      </c>
      <c r="E410" s="96" t="s">
        <v>1003</v>
      </c>
      <c r="F410" s="205" t="s">
        <v>438</v>
      </c>
      <c r="G410" s="200">
        <v>7896.9969300000002</v>
      </c>
      <c r="H410" s="491">
        <v>0</v>
      </c>
    </row>
    <row r="411" spans="1:8" s="208" customFormat="1" ht="47.25">
      <c r="A411" s="207" t="s">
        <v>814</v>
      </c>
      <c r="B411" s="150" t="s">
        <v>117</v>
      </c>
      <c r="C411" s="205" t="s">
        <v>217</v>
      </c>
      <c r="D411" s="205" t="s">
        <v>219</v>
      </c>
      <c r="E411" s="96" t="s">
        <v>1003</v>
      </c>
      <c r="F411" s="205" t="s">
        <v>813</v>
      </c>
      <c r="G411" s="200">
        <f>100-100</f>
        <v>0</v>
      </c>
      <c r="H411" s="491">
        <v>0</v>
      </c>
    </row>
    <row r="412" spans="1:8" s="208" customFormat="1" ht="47.25">
      <c r="A412" s="207" t="s">
        <v>651</v>
      </c>
      <c r="B412" s="150" t="s">
        <v>117</v>
      </c>
      <c r="C412" s="205" t="s">
        <v>217</v>
      </c>
      <c r="D412" s="205" t="s">
        <v>219</v>
      </c>
      <c r="E412" s="96" t="s">
        <v>1003</v>
      </c>
      <c r="F412" s="205" t="s">
        <v>440</v>
      </c>
      <c r="G412" s="200">
        <v>2384.8930700000001</v>
      </c>
      <c r="H412" s="491">
        <v>0</v>
      </c>
    </row>
    <row r="413" spans="1:8" s="203" customFormat="1" ht="40.5" customHeight="1">
      <c r="A413" s="209" t="s">
        <v>418</v>
      </c>
      <c r="B413" s="150" t="s">
        <v>117</v>
      </c>
      <c r="C413" s="205" t="s">
        <v>217</v>
      </c>
      <c r="D413" s="205" t="s">
        <v>219</v>
      </c>
      <c r="E413" s="96" t="s">
        <v>1003</v>
      </c>
      <c r="F413" s="205" t="s">
        <v>419</v>
      </c>
      <c r="G413" s="200">
        <v>350</v>
      </c>
      <c r="H413" s="491">
        <v>0</v>
      </c>
    </row>
    <row r="414" spans="1:8" s="203" customFormat="1" ht="40.5" customHeight="1">
      <c r="A414" s="153" t="s">
        <v>275</v>
      </c>
      <c r="B414" s="150" t="s">
        <v>117</v>
      </c>
      <c r="C414" s="205" t="s">
        <v>217</v>
      </c>
      <c r="D414" s="205" t="s">
        <v>219</v>
      </c>
      <c r="E414" s="96" t="s">
        <v>1003</v>
      </c>
      <c r="F414" s="205" t="s">
        <v>413</v>
      </c>
      <c r="G414" s="200">
        <f>2346.9+303.94-100-350</f>
        <v>2200.84</v>
      </c>
      <c r="H414" s="491">
        <v>0</v>
      </c>
    </row>
    <row r="415" spans="1:8" s="91" customFormat="1">
      <c r="A415" s="76" t="s">
        <v>415</v>
      </c>
      <c r="B415" s="150" t="s">
        <v>117</v>
      </c>
      <c r="C415" s="96" t="s">
        <v>217</v>
      </c>
      <c r="D415" s="96" t="s">
        <v>219</v>
      </c>
      <c r="E415" s="96" t="s">
        <v>1003</v>
      </c>
      <c r="F415" s="110">
        <v>851</v>
      </c>
      <c r="G415" s="109">
        <f>35.9-31</f>
        <v>4.8999999999999986</v>
      </c>
      <c r="H415" s="395">
        <v>0</v>
      </c>
    </row>
    <row r="416" spans="1:8" s="91" customFormat="1" ht="35.25" customHeight="1">
      <c r="A416" s="76" t="s">
        <v>276</v>
      </c>
      <c r="B416" s="150" t="s">
        <v>117</v>
      </c>
      <c r="C416" s="96" t="s">
        <v>217</v>
      </c>
      <c r="D416" s="96" t="s">
        <v>219</v>
      </c>
      <c r="E416" s="96" t="s">
        <v>1003</v>
      </c>
      <c r="F416" s="110">
        <v>852</v>
      </c>
      <c r="G416" s="109">
        <v>31</v>
      </c>
      <c r="H416" s="395">
        <v>0</v>
      </c>
    </row>
    <row r="417" spans="1:8" s="91" customFormat="1" ht="47.25">
      <c r="A417" s="76" t="s">
        <v>441</v>
      </c>
      <c r="B417" s="150" t="s">
        <v>117</v>
      </c>
      <c r="C417" s="96" t="s">
        <v>217</v>
      </c>
      <c r="D417" s="96" t="s">
        <v>219</v>
      </c>
      <c r="E417" s="96" t="s">
        <v>1004</v>
      </c>
      <c r="F417" s="110"/>
      <c r="G417" s="109">
        <f>G418+G419</f>
        <v>47.3</v>
      </c>
      <c r="H417" s="109">
        <f>H418+H419</f>
        <v>47.3</v>
      </c>
    </row>
    <row r="418" spans="1:8" s="91" customFormat="1" ht="31.5">
      <c r="A418" s="76" t="s">
        <v>160</v>
      </c>
      <c r="B418" s="150" t="s">
        <v>117</v>
      </c>
      <c r="C418" s="96" t="s">
        <v>217</v>
      </c>
      <c r="D418" s="96" t="s">
        <v>219</v>
      </c>
      <c r="E418" s="96" t="s">
        <v>1004</v>
      </c>
      <c r="F418" s="110">
        <v>121</v>
      </c>
      <c r="G418" s="109">
        <f>38.55607-2.22734</f>
        <v>36.32873</v>
      </c>
      <c r="H418" s="395">
        <f>G418</f>
        <v>36.32873</v>
      </c>
    </row>
    <row r="419" spans="1:8" s="91" customFormat="1" ht="47.25">
      <c r="A419" s="196" t="s">
        <v>430</v>
      </c>
      <c r="B419" s="150" t="s">
        <v>117</v>
      </c>
      <c r="C419" s="96" t="s">
        <v>217</v>
      </c>
      <c r="D419" s="96" t="s">
        <v>219</v>
      </c>
      <c r="E419" s="96" t="s">
        <v>1004</v>
      </c>
      <c r="F419" s="110">
        <v>129</v>
      </c>
      <c r="G419" s="109">
        <f>11.64393-0.67266</f>
        <v>10.971269999999999</v>
      </c>
      <c r="H419" s="395">
        <f>G419</f>
        <v>10.971269999999999</v>
      </c>
    </row>
    <row r="420" spans="1:8" s="91" customFormat="1" ht="94.5">
      <c r="A420" s="77" t="s">
        <v>588</v>
      </c>
      <c r="B420" s="150" t="s">
        <v>117</v>
      </c>
      <c r="C420" s="95" t="s">
        <v>217</v>
      </c>
      <c r="D420" s="95" t="s">
        <v>219</v>
      </c>
      <c r="E420" s="215"/>
      <c r="F420" s="95"/>
      <c r="G420" s="108">
        <f>G421+G422</f>
        <v>83.699999999999989</v>
      </c>
      <c r="H420" s="108">
        <f>H421+H422</f>
        <v>83.699999999999989</v>
      </c>
    </row>
    <row r="421" spans="1:8" ht="31.5">
      <c r="A421" s="76" t="s">
        <v>160</v>
      </c>
      <c r="B421" s="150" t="s">
        <v>117</v>
      </c>
      <c r="C421" s="96" t="s">
        <v>217</v>
      </c>
      <c r="D421" s="96" t="s">
        <v>219</v>
      </c>
      <c r="E421" s="96" t="s">
        <v>1005</v>
      </c>
      <c r="F421" s="96" t="s">
        <v>412</v>
      </c>
      <c r="G421" s="109">
        <v>64.285709999999995</v>
      </c>
      <c r="H421" s="109">
        <f>G421</f>
        <v>64.285709999999995</v>
      </c>
    </row>
    <row r="422" spans="1:8" ht="47.25">
      <c r="A422" s="196" t="s">
        <v>430</v>
      </c>
      <c r="B422" s="150" t="s">
        <v>117</v>
      </c>
      <c r="C422" s="96" t="s">
        <v>217</v>
      </c>
      <c r="D422" s="96" t="s">
        <v>219</v>
      </c>
      <c r="E422" s="96" t="s">
        <v>1005</v>
      </c>
      <c r="F422" s="96" t="s">
        <v>431</v>
      </c>
      <c r="G422" s="109">
        <v>19.414290000000001</v>
      </c>
      <c r="H422" s="109">
        <f>G422</f>
        <v>19.414290000000001</v>
      </c>
    </row>
    <row r="423" spans="1:8" ht="63">
      <c r="A423" s="74" t="s">
        <v>918</v>
      </c>
      <c r="B423" s="150" t="s">
        <v>117</v>
      </c>
      <c r="C423" s="95" t="s">
        <v>217</v>
      </c>
      <c r="D423" s="95" t="s">
        <v>219</v>
      </c>
      <c r="E423" s="95" t="s">
        <v>1006</v>
      </c>
      <c r="F423" s="95"/>
      <c r="G423" s="149">
        <f>G424+G425</f>
        <v>6269.3065500000002</v>
      </c>
      <c r="H423" s="149">
        <f>H424+H425</f>
        <v>6269.3065500000002</v>
      </c>
    </row>
    <row r="424" spans="1:8">
      <c r="A424" s="207" t="s">
        <v>650</v>
      </c>
      <c r="B424" s="150" t="s">
        <v>117</v>
      </c>
      <c r="C424" s="96" t="s">
        <v>217</v>
      </c>
      <c r="D424" s="96" t="s">
        <v>219</v>
      </c>
      <c r="E424" s="96" t="s">
        <v>1006</v>
      </c>
      <c r="F424" s="96" t="s">
        <v>438</v>
      </c>
      <c r="G424" s="109">
        <f>32316.897-2471.69786-6528.41782-12980.0308-158.45118-5363.16391</f>
        <v>4815.1354300000012</v>
      </c>
      <c r="H424" s="109">
        <f t="shared" ref="H424:H425" si="16">G424</f>
        <v>4815.1354300000012</v>
      </c>
    </row>
    <row r="425" spans="1:8" ht="47.25">
      <c r="A425" s="590" t="s">
        <v>651</v>
      </c>
      <c r="B425" s="150" t="s">
        <v>117</v>
      </c>
      <c r="C425" s="96" t="s">
        <v>217</v>
      </c>
      <c r="D425" s="96" t="s">
        <v>219</v>
      </c>
      <c r="E425" s="96" t="s">
        <v>1006</v>
      </c>
      <c r="F425" s="96" t="s">
        <v>440</v>
      </c>
      <c r="G425" s="109">
        <f>9759.703-746.45275-1971.58218-3919.9692-47.85225-1619.6755</f>
        <v>1454.1711199999988</v>
      </c>
      <c r="H425" s="109">
        <f t="shared" si="16"/>
        <v>1454.1711199999988</v>
      </c>
    </row>
    <row r="426" spans="1:8" s="91" customFormat="1" ht="78.75">
      <c r="A426" s="74" t="s">
        <v>919</v>
      </c>
      <c r="B426" s="150" t="s">
        <v>117</v>
      </c>
      <c r="C426" s="95" t="s">
        <v>217</v>
      </c>
      <c r="D426" s="95" t="s">
        <v>219</v>
      </c>
      <c r="E426" s="96" t="s">
        <v>1006</v>
      </c>
      <c r="F426" s="95"/>
      <c r="G426" s="149">
        <f>G427+G428</f>
        <v>443.91521999999998</v>
      </c>
      <c r="H426" s="149">
        <f>H427+H428</f>
        <v>0</v>
      </c>
    </row>
    <row r="427" spans="1:8">
      <c r="A427" s="76" t="s">
        <v>650</v>
      </c>
      <c r="B427" s="150" t="s">
        <v>117</v>
      </c>
      <c r="C427" s="96" t="s">
        <v>217</v>
      </c>
      <c r="D427" s="96" t="s">
        <v>219</v>
      </c>
      <c r="E427" s="96" t="s">
        <v>1006</v>
      </c>
      <c r="F427" s="96" t="s">
        <v>438</v>
      </c>
      <c r="G427" s="109">
        <f>659.524-50.44281-264.8986-3.2337</f>
        <v>340.94889000000001</v>
      </c>
      <c r="H427" s="109">
        <v>0</v>
      </c>
    </row>
    <row r="428" spans="1:8" ht="47.25">
      <c r="A428" s="590" t="s">
        <v>651</v>
      </c>
      <c r="B428" s="150" t="s">
        <v>117</v>
      </c>
      <c r="C428" s="96" t="s">
        <v>217</v>
      </c>
      <c r="D428" s="96" t="s">
        <v>219</v>
      </c>
      <c r="E428" s="96" t="s">
        <v>1006</v>
      </c>
      <c r="F428" s="96" t="s">
        <v>440</v>
      </c>
      <c r="G428" s="109">
        <f>199.176-15.23373-79.99936-0.97658</f>
        <v>102.96632999999999</v>
      </c>
      <c r="H428" s="109">
        <v>0</v>
      </c>
    </row>
    <row r="429" spans="1:8" ht="31.5">
      <c r="A429" s="807" t="s">
        <v>1175</v>
      </c>
      <c r="B429" s="187" t="s">
        <v>117</v>
      </c>
      <c r="C429" s="187" t="s">
        <v>217</v>
      </c>
      <c r="D429" s="187" t="s">
        <v>219</v>
      </c>
      <c r="E429" s="190" t="s">
        <v>1182</v>
      </c>
      <c r="F429" s="187"/>
      <c r="G429" s="195">
        <f>G430</f>
        <v>100</v>
      </c>
      <c r="H429" s="195">
        <v>0</v>
      </c>
    </row>
    <row r="430" spans="1:8" ht="34.5" customHeight="1">
      <c r="A430" s="807" t="s">
        <v>1190</v>
      </c>
      <c r="B430" s="187" t="s">
        <v>117</v>
      </c>
      <c r="C430" s="187" t="s">
        <v>217</v>
      </c>
      <c r="D430" s="187" t="s">
        <v>219</v>
      </c>
      <c r="E430" s="190" t="s">
        <v>1183</v>
      </c>
      <c r="F430" s="187"/>
      <c r="G430" s="195">
        <f>G431</f>
        <v>100</v>
      </c>
      <c r="H430" s="195">
        <v>0</v>
      </c>
    </row>
    <row r="431" spans="1:8" s="208" customFormat="1" ht="31.5">
      <c r="A431" s="808" t="s">
        <v>1191</v>
      </c>
      <c r="B431" s="150" t="s">
        <v>117</v>
      </c>
      <c r="C431" s="96" t="s">
        <v>217</v>
      </c>
      <c r="D431" s="96" t="s">
        <v>219</v>
      </c>
      <c r="E431" s="346" t="s">
        <v>1189</v>
      </c>
      <c r="F431" s="205"/>
      <c r="G431" s="200">
        <f>G432</f>
        <v>100</v>
      </c>
      <c r="H431" s="200">
        <v>0</v>
      </c>
    </row>
    <row r="432" spans="1:8" ht="47.25">
      <c r="A432" s="207" t="s">
        <v>814</v>
      </c>
      <c r="B432" s="150" t="s">
        <v>117</v>
      </c>
      <c r="C432" s="96" t="s">
        <v>217</v>
      </c>
      <c r="D432" s="96" t="s">
        <v>219</v>
      </c>
      <c r="E432" s="346" t="s">
        <v>1189</v>
      </c>
      <c r="F432" s="96" t="s">
        <v>813</v>
      </c>
      <c r="G432" s="109">
        <v>100</v>
      </c>
      <c r="H432" s="109">
        <v>0</v>
      </c>
    </row>
    <row r="433" spans="1:9">
      <c r="A433" s="79" t="s">
        <v>403</v>
      </c>
      <c r="B433" s="150" t="s">
        <v>117</v>
      </c>
      <c r="C433" s="96" t="s">
        <v>220</v>
      </c>
      <c r="D433" s="96" t="s">
        <v>218</v>
      </c>
      <c r="E433" s="95"/>
      <c r="F433" s="96"/>
      <c r="G433" s="109">
        <f>G435+G438</f>
        <v>3459.5</v>
      </c>
      <c r="H433" s="109">
        <f>H435+H438</f>
        <v>3459.5</v>
      </c>
    </row>
    <row r="434" spans="1:9" ht="47.25">
      <c r="A434" s="816" t="s">
        <v>770</v>
      </c>
      <c r="B434" s="187" t="s">
        <v>117</v>
      </c>
      <c r="C434" s="187" t="s">
        <v>220</v>
      </c>
      <c r="D434" s="187" t="s">
        <v>218</v>
      </c>
      <c r="E434" s="817" t="s">
        <v>933</v>
      </c>
      <c r="F434" s="187"/>
      <c r="G434" s="195">
        <f>G435+G438</f>
        <v>3459.5</v>
      </c>
      <c r="H434" s="195">
        <f>H435+H438</f>
        <v>3459.5</v>
      </c>
    </row>
    <row r="435" spans="1:9" ht="31.5">
      <c r="A435" s="347" t="s">
        <v>462</v>
      </c>
      <c r="B435" s="150" t="s">
        <v>117</v>
      </c>
      <c r="C435" s="96" t="s">
        <v>220</v>
      </c>
      <c r="D435" s="96" t="s">
        <v>218</v>
      </c>
      <c r="E435" s="96" t="s">
        <v>934</v>
      </c>
      <c r="F435" s="96"/>
      <c r="G435" s="109">
        <f>G436</f>
        <v>3350</v>
      </c>
      <c r="H435" s="109">
        <f>H436</f>
        <v>3350</v>
      </c>
    </row>
    <row r="436" spans="1:9" ht="220.5">
      <c r="A436" s="316" t="s">
        <v>809</v>
      </c>
      <c r="B436" s="150" t="s">
        <v>117</v>
      </c>
      <c r="C436" s="96" t="s">
        <v>220</v>
      </c>
      <c r="D436" s="96" t="s">
        <v>218</v>
      </c>
      <c r="E436" s="95"/>
      <c r="F436" s="96"/>
      <c r="G436" s="109">
        <f>G437</f>
        <v>3350</v>
      </c>
      <c r="H436" s="109">
        <f t="shared" ref="H436:H437" si="17">G436</f>
        <v>3350</v>
      </c>
    </row>
    <row r="437" spans="1:9">
      <c r="A437" s="170" t="s">
        <v>271</v>
      </c>
      <c r="B437" s="150" t="s">
        <v>117</v>
      </c>
      <c r="C437" s="96" t="s">
        <v>220</v>
      </c>
      <c r="D437" s="96" t="s">
        <v>218</v>
      </c>
      <c r="E437" s="150" t="s">
        <v>1025</v>
      </c>
      <c r="F437" s="150" t="s">
        <v>268</v>
      </c>
      <c r="G437" s="109">
        <v>3350</v>
      </c>
      <c r="H437" s="109">
        <f t="shared" si="17"/>
        <v>3350</v>
      </c>
    </row>
    <row r="438" spans="1:9" ht="47.25">
      <c r="A438" s="815" t="s">
        <v>460</v>
      </c>
      <c r="B438" s="150" t="s">
        <v>117</v>
      </c>
      <c r="C438" s="96" t="s">
        <v>220</v>
      </c>
      <c r="D438" s="96" t="s">
        <v>218</v>
      </c>
      <c r="E438" s="150" t="s">
        <v>1040</v>
      </c>
      <c r="F438" s="150"/>
      <c r="G438" s="109">
        <f>G439</f>
        <v>109.5</v>
      </c>
      <c r="H438" s="109">
        <f>H439</f>
        <v>109.5</v>
      </c>
    </row>
    <row r="439" spans="1:9" ht="231.75" customHeight="1">
      <c r="A439" s="316" t="s">
        <v>809</v>
      </c>
      <c r="B439" s="150" t="s">
        <v>117</v>
      </c>
      <c r="C439" s="96" t="s">
        <v>220</v>
      </c>
      <c r="D439" s="96" t="s">
        <v>218</v>
      </c>
      <c r="E439" s="150" t="s">
        <v>1040</v>
      </c>
      <c r="F439" s="150"/>
      <c r="G439" s="109">
        <f>G440</f>
        <v>109.5</v>
      </c>
      <c r="H439" s="109">
        <f>H440</f>
        <v>109.5</v>
      </c>
    </row>
    <row r="440" spans="1:9">
      <c r="A440" s="170" t="s">
        <v>271</v>
      </c>
      <c r="B440" s="150" t="s">
        <v>117</v>
      </c>
      <c r="C440" s="96" t="s">
        <v>220</v>
      </c>
      <c r="D440" s="96" t="s">
        <v>218</v>
      </c>
      <c r="E440" s="150" t="s">
        <v>1040</v>
      </c>
      <c r="F440" s="150" t="s">
        <v>268</v>
      </c>
      <c r="G440" s="109">
        <v>109.5</v>
      </c>
      <c r="H440" s="109">
        <f>G440</f>
        <v>109.5</v>
      </c>
    </row>
    <row r="441" spans="1:9" ht="37.5">
      <c r="A441" s="594" t="s">
        <v>663</v>
      </c>
      <c r="B441" s="595" t="s">
        <v>662</v>
      </c>
      <c r="C441" s="596"/>
      <c r="D441" s="596"/>
      <c r="E441" s="595"/>
      <c r="F441" s="595"/>
      <c r="G441" s="597">
        <f>G442+G448+G463</f>
        <v>104382.04441999999</v>
      </c>
      <c r="H441" s="597">
        <f>H442+H448+H463</f>
        <v>79797.3</v>
      </c>
      <c r="I441" s="85">
        <f>G441-H441</f>
        <v>24584.744419999988</v>
      </c>
    </row>
    <row r="442" spans="1:9">
      <c r="A442" s="79" t="s">
        <v>272</v>
      </c>
      <c r="B442" s="106" t="s">
        <v>662</v>
      </c>
      <c r="C442" s="106" t="s">
        <v>224</v>
      </c>
      <c r="D442" s="106" t="s">
        <v>219</v>
      </c>
      <c r="E442" s="106"/>
      <c r="F442" s="106"/>
      <c r="G442" s="107">
        <f>G443</f>
        <v>11844.699999999999</v>
      </c>
      <c r="H442" s="107">
        <f>H443</f>
        <v>531.4</v>
      </c>
    </row>
    <row r="443" spans="1:9" ht="38.25" customHeight="1">
      <c r="A443" s="527" t="s">
        <v>870</v>
      </c>
      <c r="B443" s="725" t="s">
        <v>662</v>
      </c>
      <c r="C443" s="725" t="s">
        <v>224</v>
      </c>
      <c r="D443" s="725" t="s">
        <v>219</v>
      </c>
      <c r="E443" s="726" t="s">
        <v>1050</v>
      </c>
      <c r="F443" s="725"/>
      <c r="G443" s="727">
        <f>G444+G446</f>
        <v>11844.699999999999</v>
      </c>
      <c r="H443" s="727">
        <f>H444+H446</f>
        <v>531.4</v>
      </c>
    </row>
    <row r="444" spans="1:9" ht="78.75">
      <c r="A444" s="163" t="s">
        <v>1013</v>
      </c>
      <c r="B444" s="95" t="s">
        <v>662</v>
      </c>
      <c r="C444" s="95" t="s">
        <v>224</v>
      </c>
      <c r="D444" s="95" t="s">
        <v>219</v>
      </c>
      <c r="E444" s="682" t="s">
        <v>1050</v>
      </c>
      <c r="F444" s="95"/>
      <c r="G444" s="108">
        <f>G445</f>
        <v>11313.3</v>
      </c>
      <c r="H444" s="108">
        <f>H445</f>
        <v>0</v>
      </c>
    </row>
    <row r="445" spans="1:9" ht="31.5">
      <c r="A445" s="153" t="s">
        <v>275</v>
      </c>
      <c r="B445" s="96" t="s">
        <v>662</v>
      </c>
      <c r="C445" s="95" t="s">
        <v>224</v>
      </c>
      <c r="D445" s="95" t="s">
        <v>219</v>
      </c>
      <c r="E445" s="682" t="s">
        <v>873</v>
      </c>
      <c r="F445" s="96" t="s">
        <v>413</v>
      </c>
      <c r="G445" s="109">
        <f>12863.3-1550</f>
        <v>11313.3</v>
      </c>
      <c r="H445" s="109">
        <v>0</v>
      </c>
    </row>
    <row r="446" spans="1:9" ht="47.25">
      <c r="A446" s="163" t="s">
        <v>868</v>
      </c>
      <c r="B446" s="95" t="s">
        <v>662</v>
      </c>
      <c r="C446" s="95" t="s">
        <v>224</v>
      </c>
      <c r="D446" s="95" t="s">
        <v>219</v>
      </c>
      <c r="E446" s="96" t="s">
        <v>1113</v>
      </c>
      <c r="F446" s="96"/>
      <c r="G446" s="109">
        <f>G447</f>
        <v>531.4</v>
      </c>
      <c r="H446" s="109">
        <f>H447</f>
        <v>531.4</v>
      </c>
    </row>
    <row r="447" spans="1:9" ht="31.5">
      <c r="A447" s="153" t="s">
        <v>275</v>
      </c>
      <c r="B447" s="96" t="s">
        <v>662</v>
      </c>
      <c r="C447" s="96" t="s">
        <v>224</v>
      </c>
      <c r="D447" s="96" t="s">
        <v>219</v>
      </c>
      <c r="E447" s="96" t="s">
        <v>1113</v>
      </c>
      <c r="F447" s="96" t="s">
        <v>413</v>
      </c>
      <c r="G447" s="109">
        <v>531.4</v>
      </c>
      <c r="H447" s="109">
        <f>G447</f>
        <v>531.4</v>
      </c>
    </row>
    <row r="448" spans="1:9">
      <c r="A448" s="79" t="s">
        <v>57</v>
      </c>
      <c r="B448" s="150" t="s">
        <v>662</v>
      </c>
      <c r="C448" s="96" t="s">
        <v>224</v>
      </c>
      <c r="D448" s="96" t="s">
        <v>222</v>
      </c>
      <c r="E448" s="150"/>
      <c r="F448" s="150"/>
      <c r="G448" s="109">
        <f>G449+G456</f>
        <v>22413.21053</v>
      </c>
      <c r="H448" s="109">
        <f>H449+H456</f>
        <v>15308.8</v>
      </c>
    </row>
    <row r="449" spans="1:9" ht="31.5">
      <c r="A449" s="426" t="s">
        <v>775</v>
      </c>
      <c r="B449" s="185" t="s">
        <v>662</v>
      </c>
      <c r="C449" s="185" t="s">
        <v>224</v>
      </c>
      <c r="D449" s="185" t="s">
        <v>222</v>
      </c>
      <c r="E449" s="192" t="s">
        <v>828</v>
      </c>
      <c r="F449" s="185"/>
      <c r="G449" s="194">
        <f>G450</f>
        <v>20588.21053</v>
      </c>
      <c r="H449" s="194">
        <f>H450</f>
        <v>14808.8</v>
      </c>
    </row>
    <row r="450" spans="1:9" ht="47.25">
      <c r="A450" s="426" t="s">
        <v>1001</v>
      </c>
      <c r="B450" s="185" t="s">
        <v>662</v>
      </c>
      <c r="C450" s="185" t="s">
        <v>224</v>
      </c>
      <c r="D450" s="185" t="s">
        <v>222</v>
      </c>
      <c r="E450" s="192" t="s">
        <v>828</v>
      </c>
      <c r="F450" s="185"/>
      <c r="G450" s="194">
        <f>G451+G453+G455</f>
        <v>20588.21053</v>
      </c>
      <c r="H450" s="194">
        <f>H451+H453+H455</f>
        <v>14808.8</v>
      </c>
    </row>
    <row r="451" spans="1:9" ht="31.5">
      <c r="A451" s="153" t="s">
        <v>275</v>
      </c>
      <c r="B451" s="96" t="s">
        <v>662</v>
      </c>
      <c r="C451" s="96" t="s">
        <v>224</v>
      </c>
      <c r="D451" s="96" t="s">
        <v>222</v>
      </c>
      <c r="E451" s="171" t="s">
        <v>622</v>
      </c>
      <c r="F451" s="96" t="s">
        <v>413</v>
      </c>
      <c r="G451" s="109">
        <v>5000</v>
      </c>
      <c r="H451" s="109">
        <v>0</v>
      </c>
    </row>
    <row r="452" spans="1:9" ht="63">
      <c r="A452" s="74" t="s">
        <v>104</v>
      </c>
      <c r="B452" s="97">
        <v>937</v>
      </c>
      <c r="C452" s="95" t="s">
        <v>224</v>
      </c>
      <c r="D452" s="95" t="s">
        <v>222</v>
      </c>
      <c r="E452" s="96" t="s">
        <v>866</v>
      </c>
      <c r="F452" s="95"/>
      <c r="G452" s="109">
        <f>G453</f>
        <v>14808.8</v>
      </c>
      <c r="H452" s="109">
        <f>H453</f>
        <v>14808.8</v>
      </c>
    </row>
    <row r="453" spans="1:9" ht="31.5">
      <c r="A453" s="153" t="s">
        <v>275</v>
      </c>
      <c r="B453" s="98">
        <v>937</v>
      </c>
      <c r="C453" s="96" t="s">
        <v>224</v>
      </c>
      <c r="D453" s="96" t="s">
        <v>222</v>
      </c>
      <c r="E453" s="96" t="s">
        <v>866</v>
      </c>
      <c r="F453" s="96" t="s">
        <v>413</v>
      </c>
      <c r="G453" s="109">
        <f>7404.4+7404.4</f>
        <v>14808.8</v>
      </c>
      <c r="H453" s="109">
        <f>G453</f>
        <v>14808.8</v>
      </c>
    </row>
    <row r="454" spans="1:9" ht="78.75">
      <c r="A454" s="74" t="s">
        <v>602</v>
      </c>
      <c r="B454" s="97">
        <v>937</v>
      </c>
      <c r="C454" s="95" t="s">
        <v>224</v>
      </c>
      <c r="D454" s="95" t="s">
        <v>222</v>
      </c>
      <c r="E454" s="96" t="s">
        <v>866</v>
      </c>
      <c r="F454" s="96"/>
      <c r="G454" s="109">
        <f>G455</f>
        <v>779.41052999999999</v>
      </c>
      <c r="H454" s="109">
        <f>H455</f>
        <v>0</v>
      </c>
    </row>
    <row r="455" spans="1:9" ht="31.5">
      <c r="A455" s="153" t="s">
        <v>275</v>
      </c>
      <c r="B455" s="98">
        <v>937</v>
      </c>
      <c r="C455" s="96" t="s">
        <v>224</v>
      </c>
      <c r="D455" s="96" t="s">
        <v>222</v>
      </c>
      <c r="E455" s="96" t="s">
        <v>866</v>
      </c>
      <c r="F455" s="96" t="s">
        <v>413</v>
      </c>
      <c r="G455" s="109">
        <f>389.70526+389.70527</f>
        <v>779.41052999999999</v>
      </c>
      <c r="H455" s="109">
        <v>0</v>
      </c>
    </row>
    <row r="456" spans="1:9" ht="47.25">
      <c r="A456" s="174" t="s">
        <v>774</v>
      </c>
      <c r="B456" s="176" t="s">
        <v>662</v>
      </c>
      <c r="C456" s="176" t="s">
        <v>224</v>
      </c>
      <c r="D456" s="176" t="s">
        <v>222</v>
      </c>
      <c r="E456" s="176" t="s">
        <v>594</v>
      </c>
      <c r="F456" s="176"/>
      <c r="G456" s="178">
        <f>G457</f>
        <v>1825</v>
      </c>
      <c r="H456" s="178">
        <f>H457</f>
        <v>500</v>
      </c>
    </row>
    <row r="457" spans="1:9" ht="47.25">
      <c r="A457" s="174" t="s">
        <v>1002</v>
      </c>
      <c r="B457" s="176" t="s">
        <v>662</v>
      </c>
      <c r="C457" s="176" t="s">
        <v>224</v>
      </c>
      <c r="D457" s="176" t="s">
        <v>222</v>
      </c>
      <c r="E457" s="176" t="s">
        <v>594</v>
      </c>
      <c r="F457" s="176"/>
      <c r="G457" s="178">
        <f>G458+G460+G461</f>
        <v>1825</v>
      </c>
      <c r="H457" s="178">
        <f>H458+H460+H461</f>
        <v>500</v>
      </c>
    </row>
    <row r="458" spans="1:9" ht="31.5">
      <c r="A458" s="153" t="s">
        <v>275</v>
      </c>
      <c r="B458" s="96" t="s">
        <v>662</v>
      </c>
      <c r="C458" s="96" t="s">
        <v>224</v>
      </c>
      <c r="D458" s="96" t="s">
        <v>222</v>
      </c>
      <c r="E458" s="96" t="s">
        <v>547</v>
      </c>
      <c r="F458" s="96" t="s">
        <v>413</v>
      </c>
      <c r="G458" s="109">
        <f>1200</f>
        <v>1200</v>
      </c>
      <c r="H458" s="109">
        <v>0</v>
      </c>
    </row>
    <row r="459" spans="1:9" ht="47.25">
      <c r="A459" s="74" t="s">
        <v>442</v>
      </c>
      <c r="B459" s="95" t="s">
        <v>662</v>
      </c>
      <c r="C459" s="95" t="s">
        <v>224</v>
      </c>
      <c r="D459" s="95" t="s">
        <v>222</v>
      </c>
      <c r="E459" s="95" t="s">
        <v>603</v>
      </c>
      <c r="F459" s="95"/>
      <c r="G459" s="108">
        <f>G460</f>
        <v>500</v>
      </c>
      <c r="H459" s="108">
        <f>H460</f>
        <v>500</v>
      </c>
    </row>
    <row r="460" spans="1:9" ht="31.5">
      <c r="A460" s="153" t="s">
        <v>275</v>
      </c>
      <c r="B460" s="96" t="s">
        <v>662</v>
      </c>
      <c r="C460" s="96" t="s">
        <v>224</v>
      </c>
      <c r="D460" s="96" t="s">
        <v>222</v>
      </c>
      <c r="E460" s="95" t="s">
        <v>603</v>
      </c>
      <c r="F460" s="96" t="s">
        <v>413</v>
      </c>
      <c r="G460" s="109">
        <v>500</v>
      </c>
      <c r="H460" s="109">
        <f>G460</f>
        <v>500</v>
      </c>
    </row>
    <row r="461" spans="1:9" ht="59.25" customHeight="1">
      <c r="A461" s="483" t="s">
        <v>604</v>
      </c>
      <c r="B461" s="95" t="s">
        <v>662</v>
      </c>
      <c r="C461" s="95" t="s">
        <v>224</v>
      </c>
      <c r="D461" s="95" t="s">
        <v>222</v>
      </c>
      <c r="E461" s="95" t="s">
        <v>603</v>
      </c>
      <c r="F461" s="95"/>
      <c r="G461" s="108">
        <f>G462</f>
        <v>125</v>
      </c>
      <c r="H461" s="108">
        <f>H462</f>
        <v>0</v>
      </c>
      <c r="I461" s="668">
        <v>0.2</v>
      </c>
    </row>
    <row r="462" spans="1:9" ht="31.5">
      <c r="A462" s="153" t="s">
        <v>275</v>
      </c>
      <c r="B462" s="96" t="s">
        <v>662</v>
      </c>
      <c r="C462" s="96" t="s">
        <v>224</v>
      </c>
      <c r="D462" s="96" t="s">
        <v>222</v>
      </c>
      <c r="E462" s="96" t="s">
        <v>603</v>
      </c>
      <c r="F462" s="96" t="s">
        <v>413</v>
      </c>
      <c r="G462" s="109">
        <v>125</v>
      </c>
      <c r="H462" s="109">
        <v>0</v>
      </c>
    </row>
    <row r="463" spans="1:9">
      <c r="A463" s="80" t="s">
        <v>273</v>
      </c>
      <c r="B463" s="103" t="s">
        <v>662</v>
      </c>
      <c r="C463" s="103" t="s">
        <v>225</v>
      </c>
      <c r="D463" s="103"/>
      <c r="E463" s="96"/>
      <c r="F463" s="96"/>
      <c r="G463" s="109">
        <f>G464+G475</f>
        <v>70124.133889999997</v>
      </c>
      <c r="H463" s="109">
        <f>H464+H475</f>
        <v>63957.1</v>
      </c>
    </row>
    <row r="464" spans="1:9">
      <c r="A464" s="80" t="s">
        <v>620</v>
      </c>
      <c r="B464" s="96" t="s">
        <v>662</v>
      </c>
      <c r="C464" s="103" t="s">
        <v>225</v>
      </c>
      <c r="D464" s="103" t="s">
        <v>216</v>
      </c>
      <c r="E464" s="96"/>
      <c r="F464" s="96"/>
      <c r="G464" s="109">
        <f>G465</f>
        <v>22393.263890000002</v>
      </c>
      <c r="H464" s="109">
        <f>H465</f>
        <v>19024.5</v>
      </c>
    </row>
    <row r="465" spans="1:10" ht="31.5">
      <c r="A465" s="426" t="s">
        <v>775</v>
      </c>
      <c r="B465" s="185" t="s">
        <v>662</v>
      </c>
      <c r="C465" s="185" t="s">
        <v>225</v>
      </c>
      <c r="D465" s="185" t="s">
        <v>216</v>
      </c>
      <c r="E465" s="192" t="s">
        <v>828</v>
      </c>
      <c r="F465" s="185"/>
      <c r="G465" s="194">
        <f>G466</f>
        <v>22393.263890000002</v>
      </c>
      <c r="H465" s="194">
        <f>H466</f>
        <v>19024.5</v>
      </c>
    </row>
    <row r="466" spans="1:10" ht="60.75" customHeight="1">
      <c r="A466" s="209" t="s">
        <v>1001</v>
      </c>
      <c r="B466" s="205" t="s">
        <v>662</v>
      </c>
      <c r="C466" s="205" t="s">
        <v>225</v>
      </c>
      <c r="D466" s="205" t="s">
        <v>216</v>
      </c>
      <c r="E466" s="346" t="s">
        <v>828</v>
      </c>
      <c r="F466" s="205"/>
      <c r="G466" s="200">
        <f>G467+G469+G471+G473</f>
        <v>22393.263890000002</v>
      </c>
      <c r="H466" s="200">
        <f>H467+H469+H471+H473</f>
        <v>19024.5</v>
      </c>
    </row>
    <row r="467" spans="1:10" ht="63">
      <c r="A467" s="76" t="s">
        <v>836</v>
      </c>
      <c r="B467" s="96" t="s">
        <v>662</v>
      </c>
      <c r="C467" s="96" t="s">
        <v>225</v>
      </c>
      <c r="D467" s="96" t="s">
        <v>216</v>
      </c>
      <c r="E467" s="96" t="s">
        <v>867</v>
      </c>
      <c r="F467" s="96"/>
      <c r="G467" s="109">
        <f>G468</f>
        <v>9989</v>
      </c>
      <c r="H467" s="109">
        <f>H468</f>
        <v>9989</v>
      </c>
    </row>
    <row r="468" spans="1:10" ht="31.5">
      <c r="A468" s="153" t="s">
        <v>275</v>
      </c>
      <c r="B468" s="96" t="s">
        <v>662</v>
      </c>
      <c r="C468" s="96" t="s">
        <v>225</v>
      </c>
      <c r="D468" s="96" t="s">
        <v>216</v>
      </c>
      <c r="E468" s="96" t="s">
        <v>867</v>
      </c>
      <c r="F468" s="96" t="s">
        <v>413</v>
      </c>
      <c r="G468" s="109">
        <v>9989</v>
      </c>
      <c r="H468" s="109">
        <f>G468</f>
        <v>9989</v>
      </c>
      <c r="J468" s="85" t="e">
        <f>#REF!+G468-1474.08445</f>
        <v>#REF!</v>
      </c>
    </row>
    <row r="469" spans="1:10" ht="78.75">
      <c r="A469" s="153" t="s">
        <v>619</v>
      </c>
      <c r="B469" s="96" t="s">
        <v>662</v>
      </c>
      <c r="C469" s="96" t="s">
        <v>225</v>
      </c>
      <c r="D469" s="96" t="s">
        <v>216</v>
      </c>
      <c r="E469" s="96" t="s">
        <v>867</v>
      </c>
      <c r="F469" s="96"/>
      <c r="G469" s="109">
        <f>G470</f>
        <v>1109.8888899999999</v>
      </c>
      <c r="H469" s="109">
        <f>H470</f>
        <v>0</v>
      </c>
    </row>
    <row r="470" spans="1:10" ht="31.5">
      <c r="A470" s="153" t="s">
        <v>275</v>
      </c>
      <c r="B470" s="96" t="s">
        <v>662</v>
      </c>
      <c r="C470" s="96" t="s">
        <v>225</v>
      </c>
      <c r="D470" s="96" t="s">
        <v>216</v>
      </c>
      <c r="E470" s="96" t="s">
        <v>867</v>
      </c>
      <c r="F470" s="96" t="s">
        <v>413</v>
      </c>
      <c r="G470" s="109">
        <v>1109.8888899999999</v>
      </c>
      <c r="H470" s="109">
        <v>0</v>
      </c>
      <c r="I470" s="70">
        <v>163.78716</v>
      </c>
      <c r="J470" s="85">
        <f>G470-I470</f>
        <v>946.10172999999998</v>
      </c>
    </row>
    <row r="471" spans="1:10" ht="31.5">
      <c r="A471" s="153" t="s">
        <v>796</v>
      </c>
      <c r="B471" s="96" t="s">
        <v>662</v>
      </c>
      <c r="C471" s="96" t="s">
        <v>225</v>
      </c>
      <c r="D471" s="96" t="s">
        <v>216</v>
      </c>
      <c r="E471" s="96" t="s">
        <v>842</v>
      </c>
      <c r="F471" s="96"/>
      <c r="G471" s="109">
        <f>G472</f>
        <v>9035.5</v>
      </c>
      <c r="H471" s="109">
        <f>H472</f>
        <v>9035.5</v>
      </c>
      <c r="J471" s="85"/>
    </row>
    <row r="472" spans="1:10" ht="31.5">
      <c r="A472" s="153" t="s">
        <v>885</v>
      </c>
      <c r="B472" s="96" t="s">
        <v>662</v>
      </c>
      <c r="C472" s="96" t="s">
        <v>225</v>
      </c>
      <c r="D472" s="96" t="s">
        <v>216</v>
      </c>
      <c r="E472" s="96" t="s">
        <v>842</v>
      </c>
      <c r="F472" s="96" t="s">
        <v>105</v>
      </c>
      <c r="G472" s="109">
        <v>9035.5</v>
      </c>
      <c r="H472" s="109">
        <f>G472</f>
        <v>9035.5</v>
      </c>
      <c r="J472" s="85"/>
    </row>
    <row r="473" spans="1:10" ht="47.25">
      <c r="A473" s="153" t="s">
        <v>821</v>
      </c>
      <c r="B473" s="96" t="s">
        <v>662</v>
      </c>
      <c r="C473" s="96" t="s">
        <v>225</v>
      </c>
      <c r="D473" s="96" t="s">
        <v>216</v>
      </c>
      <c r="E473" s="96" t="s">
        <v>842</v>
      </c>
      <c r="F473" s="96"/>
      <c r="G473" s="109">
        <f>G474</f>
        <v>2258.875</v>
      </c>
      <c r="H473" s="109">
        <f>H474</f>
        <v>0</v>
      </c>
      <c r="J473" s="85"/>
    </row>
    <row r="474" spans="1:10" ht="31.5">
      <c r="A474" s="153" t="s">
        <v>885</v>
      </c>
      <c r="B474" s="96" t="s">
        <v>662</v>
      </c>
      <c r="C474" s="96" t="s">
        <v>225</v>
      </c>
      <c r="D474" s="96" t="s">
        <v>216</v>
      </c>
      <c r="E474" s="96" t="s">
        <v>842</v>
      </c>
      <c r="F474" s="96" t="s">
        <v>105</v>
      </c>
      <c r="G474" s="109">
        <v>2258.875</v>
      </c>
      <c r="H474" s="109">
        <v>0</v>
      </c>
      <c r="J474" s="85"/>
    </row>
    <row r="475" spans="1:10">
      <c r="A475" s="339" t="s">
        <v>54</v>
      </c>
      <c r="B475" s="150" t="s">
        <v>662</v>
      </c>
      <c r="C475" s="96" t="s">
        <v>225</v>
      </c>
      <c r="D475" s="96" t="s">
        <v>225</v>
      </c>
      <c r="E475" s="150"/>
      <c r="F475" s="150"/>
      <c r="G475" s="109">
        <f>G476+G479+G483</f>
        <v>47730.869999999995</v>
      </c>
      <c r="H475" s="109">
        <f>H476+H479+H483</f>
        <v>44932.6</v>
      </c>
    </row>
    <row r="476" spans="1:10" ht="31.5">
      <c r="A476" s="74" t="s">
        <v>394</v>
      </c>
      <c r="B476" s="150" t="s">
        <v>662</v>
      </c>
      <c r="C476" s="96" t="s">
        <v>225</v>
      </c>
      <c r="D476" s="96" t="s">
        <v>225</v>
      </c>
      <c r="E476" s="95" t="s">
        <v>528</v>
      </c>
      <c r="F476" s="95"/>
      <c r="G476" s="109">
        <f>G477+G478</f>
        <v>2434.9700000000003</v>
      </c>
      <c r="H476" s="109">
        <f>H477+H478</f>
        <v>0</v>
      </c>
    </row>
    <row r="477" spans="1:10" ht="31.5">
      <c r="A477" s="76" t="s">
        <v>160</v>
      </c>
      <c r="B477" s="150" t="s">
        <v>662</v>
      </c>
      <c r="C477" s="96" t="s">
        <v>225</v>
      </c>
      <c r="D477" s="96" t="s">
        <v>225</v>
      </c>
      <c r="E477" s="96" t="s">
        <v>528</v>
      </c>
      <c r="F477" s="96" t="s">
        <v>412</v>
      </c>
      <c r="G477" s="109">
        <v>1870.1766500000001</v>
      </c>
      <c r="H477" s="109">
        <v>0</v>
      </c>
    </row>
    <row r="478" spans="1:10" ht="47.25">
      <c r="A478" s="196" t="s">
        <v>430</v>
      </c>
      <c r="B478" s="150" t="s">
        <v>662</v>
      </c>
      <c r="C478" s="96" t="s">
        <v>225</v>
      </c>
      <c r="D478" s="96" t="s">
        <v>225</v>
      </c>
      <c r="E478" s="96" t="s">
        <v>528</v>
      </c>
      <c r="F478" s="96" t="s">
        <v>431</v>
      </c>
      <c r="G478" s="109">
        <v>564.79335000000003</v>
      </c>
      <c r="H478" s="109">
        <v>0</v>
      </c>
    </row>
    <row r="479" spans="1:10" ht="47.25">
      <c r="A479" s="173" t="s">
        <v>435</v>
      </c>
      <c r="B479" s="150" t="s">
        <v>662</v>
      </c>
      <c r="C479" s="96" t="s">
        <v>225</v>
      </c>
      <c r="D479" s="96" t="s">
        <v>225</v>
      </c>
      <c r="E479" s="150" t="s">
        <v>1</v>
      </c>
      <c r="F479" s="150"/>
      <c r="G479" s="109">
        <f>G480+G482</f>
        <v>363.3</v>
      </c>
      <c r="H479" s="109">
        <f>H480</f>
        <v>0</v>
      </c>
    </row>
    <row r="480" spans="1:10" ht="31.5">
      <c r="A480" s="153" t="s">
        <v>275</v>
      </c>
      <c r="B480" s="150" t="s">
        <v>662</v>
      </c>
      <c r="C480" s="96" t="s">
        <v>225</v>
      </c>
      <c r="D480" s="96" t="s">
        <v>225</v>
      </c>
      <c r="E480" s="150" t="s">
        <v>1</v>
      </c>
      <c r="F480" s="150" t="s">
        <v>413</v>
      </c>
      <c r="G480" s="109">
        <f>71+275.3+9</f>
        <v>355.3</v>
      </c>
      <c r="H480" s="109">
        <v>0</v>
      </c>
    </row>
    <row r="481" spans="1:12">
      <c r="A481" s="77" t="s">
        <v>267</v>
      </c>
      <c r="B481" s="97">
        <v>937</v>
      </c>
      <c r="C481" s="96" t="s">
        <v>225</v>
      </c>
      <c r="D481" s="96" t="s">
        <v>225</v>
      </c>
      <c r="E481" s="95" t="s">
        <v>4</v>
      </c>
      <c r="F481" s="150"/>
      <c r="G481" s="109">
        <f>G482</f>
        <v>8</v>
      </c>
      <c r="H481" s="109">
        <f>H482</f>
        <v>0</v>
      </c>
    </row>
    <row r="482" spans="1:12" ht="22.5" customHeight="1">
      <c r="A482" s="76" t="s">
        <v>415</v>
      </c>
      <c r="B482" s="98">
        <v>937</v>
      </c>
      <c r="C482" s="96" t="s">
        <v>225</v>
      </c>
      <c r="D482" s="96" t="s">
        <v>225</v>
      </c>
      <c r="E482" s="150" t="s">
        <v>4</v>
      </c>
      <c r="F482" s="433">
        <v>851</v>
      </c>
      <c r="G482" s="109">
        <v>8</v>
      </c>
      <c r="H482" s="109">
        <v>0</v>
      </c>
    </row>
    <row r="483" spans="1:12" ht="37.5" customHeight="1">
      <c r="A483" s="76" t="s">
        <v>1226</v>
      </c>
      <c r="B483" s="98">
        <v>937</v>
      </c>
      <c r="C483" s="96" t="s">
        <v>225</v>
      </c>
      <c r="D483" s="96" t="s">
        <v>225</v>
      </c>
      <c r="E483" s="96" t="s">
        <v>803</v>
      </c>
      <c r="F483" s="433"/>
      <c r="G483" s="109">
        <f>G484</f>
        <v>44932.6</v>
      </c>
      <c r="H483" s="109">
        <f>H484</f>
        <v>44932.6</v>
      </c>
    </row>
    <row r="484" spans="1:12" ht="40.5" customHeight="1">
      <c r="A484" s="153" t="s">
        <v>807</v>
      </c>
      <c r="B484" s="98">
        <v>937</v>
      </c>
      <c r="C484" s="96" t="s">
        <v>225</v>
      </c>
      <c r="D484" s="96" t="s">
        <v>225</v>
      </c>
      <c r="E484" s="96" t="s">
        <v>803</v>
      </c>
      <c r="F484" s="433">
        <v>414</v>
      </c>
      <c r="G484" s="109">
        <v>44932.6</v>
      </c>
      <c r="H484" s="109">
        <f>G484</f>
        <v>44932.6</v>
      </c>
    </row>
    <row r="485" spans="1:12" s="90" customFormat="1">
      <c r="A485" s="127" t="s">
        <v>120</v>
      </c>
      <c r="B485" s="96"/>
      <c r="C485" s="96"/>
      <c r="D485" s="96"/>
      <c r="E485" s="96"/>
      <c r="F485" s="102"/>
      <c r="G485" s="104">
        <f>G13+G38+G70+G288+G441</f>
        <v>1094083.1000000001</v>
      </c>
      <c r="H485" s="104">
        <f>H13+H38+H70+H288+H441</f>
        <v>792976.20000000007</v>
      </c>
      <c r="I485" s="147">
        <f>G485-H485</f>
        <v>301106.90000000002</v>
      </c>
      <c r="L485" s="147"/>
    </row>
    <row r="486" spans="1:12">
      <c r="A486" s="128"/>
    </row>
    <row r="487" spans="1:12">
      <c r="A487" s="128"/>
      <c r="E487" s="83"/>
      <c r="G487" s="85">
        <f>пр.4!D11+'пр.6 '!D12</f>
        <v>1110983.1000000001</v>
      </c>
      <c r="H487" s="393">
        <f>'пр.6 '!D12-'пр.6 '!D14-'пр.6 '!D78</f>
        <v>792976.20000000019</v>
      </c>
      <c r="J487" s="85"/>
    </row>
    <row r="488" spans="1:12">
      <c r="A488" s="128"/>
      <c r="E488" s="83"/>
      <c r="G488" s="85">
        <f>G487-G485</f>
        <v>16900</v>
      </c>
      <c r="H488" s="393">
        <f>H485-H487</f>
        <v>0</v>
      </c>
    </row>
    <row r="489" spans="1:12">
      <c r="A489" s="548"/>
      <c r="B489" s="549"/>
      <c r="C489" s="549"/>
      <c r="D489" s="549"/>
      <c r="E489" s="566"/>
      <c r="F489" s="549"/>
      <c r="G489" s="550">
        <f>G487-16900</f>
        <v>1094083.1000000001</v>
      </c>
      <c r="H489" s="551"/>
    </row>
    <row r="490" spans="1:12">
      <c r="A490" s="552"/>
      <c r="B490" s="553"/>
      <c r="C490" s="553"/>
      <c r="D490" s="554"/>
      <c r="E490" s="251"/>
      <c r="F490" s="553"/>
      <c r="G490" s="555">
        <f>G487-G489</f>
        <v>16900</v>
      </c>
      <c r="H490" s="551"/>
    </row>
    <row r="491" spans="1:12">
      <c r="A491" s="552"/>
      <c r="B491" s="553"/>
      <c r="C491" s="553"/>
      <c r="D491" s="554"/>
      <c r="E491" s="251"/>
      <c r="F491" s="553"/>
      <c r="G491" s="555">
        <f>G485-G489</f>
        <v>0</v>
      </c>
      <c r="H491" s="551"/>
    </row>
    <row r="492" spans="1:12" hidden="1">
      <c r="A492" s="542"/>
      <c r="B492" s="543"/>
      <c r="C492" s="543"/>
      <c r="D492" s="543"/>
      <c r="E492" s="544"/>
      <c r="F492" s="545"/>
      <c r="G492" s="546"/>
      <c r="H492" s="547"/>
    </row>
    <row r="493" spans="1:12">
      <c r="E493" s="83"/>
      <c r="H493" s="85"/>
    </row>
  </sheetData>
  <sheetProtection selectLockedCells="1"/>
  <autoFilter ref="A12:H491"/>
  <mergeCells count="9">
    <mergeCell ref="I378:K378"/>
    <mergeCell ref="A9:G10"/>
    <mergeCell ref="D7:H7"/>
    <mergeCell ref="D1:H1"/>
    <mergeCell ref="D2:H2"/>
    <mergeCell ref="E3:H3"/>
    <mergeCell ref="D4:H4"/>
    <mergeCell ref="E5:H5"/>
    <mergeCell ref="E6:H6"/>
  </mergeCells>
  <phoneticPr fontId="13" type="noConversion"/>
  <hyperlinks>
    <hyperlink ref="A60" r:id="rId1" tooltip="Муниципальные образования" display="http://www.pandia.ru/text/category/munitcipalmznie_obrazovaniya/"/>
  </hyperlinks>
  <pageMargins left="0.70866141732283472" right="0.55118110236220474" top="0" bottom="0" header="0.23622047244094491" footer="0.31496062992125984"/>
  <pageSetup paperSize="9" scale="46" fitToWidth="14" fitToHeight="14" orientation="portrait" r:id="rId2"/>
  <rowBreaks count="3" manualBreakCount="3">
    <brk id="174" max="7" man="1"/>
    <brk id="326" max="7" man="1"/>
    <brk id="460" max="7" man="1"/>
  </rowBreak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86"/>
  <sheetViews>
    <sheetView view="pageBreakPreview" zoomScale="82" zoomScaleSheetLayoutView="82" workbookViewId="0">
      <selection activeCell="H482" sqref="A1:H482"/>
    </sheetView>
  </sheetViews>
  <sheetFormatPr defaultRowHeight="15.75"/>
  <cols>
    <col min="1" max="1" width="72.5703125" style="125" customWidth="1"/>
    <col min="2" max="2" width="10.7109375" style="70" customWidth="1"/>
    <col min="3" max="3" width="7.85546875" style="70" customWidth="1"/>
    <col min="4" max="4" width="9" style="70" customWidth="1"/>
    <col min="5" max="5" width="16.5703125" style="119" customWidth="1"/>
    <col min="6" max="6" width="10" style="84" customWidth="1"/>
    <col min="7" max="7" width="18.28515625" style="85" customWidth="1"/>
    <col min="8" max="8" width="16.5703125" style="85" bestFit="1" customWidth="1"/>
    <col min="9" max="9" width="21.42578125" style="494" bestFit="1" customWidth="1"/>
    <col min="10" max="10" width="20.85546875" style="70" customWidth="1"/>
    <col min="11" max="11" width="15" style="70" customWidth="1"/>
    <col min="12" max="12" width="15" style="70" bestFit="1" customWidth="1"/>
    <col min="13" max="16384" width="9.140625" style="70"/>
  </cols>
  <sheetData>
    <row r="1" spans="1:10">
      <c r="D1" s="382"/>
      <c r="E1" s="890" t="s">
        <v>147</v>
      </c>
      <c r="F1" s="890"/>
      <c r="G1" s="890"/>
      <c r="H1" s="890"/>
    </row>
    <row r="2" spans="1:10">
      <c r="D2" s="382"/>
      <c r="E2" s="890" t="s">
        <v>204</v>
      </c>
      <c r="F2" s="890"/>
      <c r="G2" s="890"/>
      <c r="H2" s="890"/>
    </row>
    <row r="3" spans="1:10">
      <c r="E3" s="382"/>
      <c r="F3" s="890" t="s">
        <v>306</v>
      </c>
      <c r="G3" s="890"/>
      <c r="H3" s="890"/>
    </row>
    <row r="4" spans="1:10">
      <c r="D4" s="382"/>
      <c r="E4" s="382"/>
      <c r="F4" s="890" t="s">
        <v>153</v>
      </c>
      <c r="G4" s="890"/>
      <c r="H4" s="890"/>
    </row>
    <row r="5" spans="1:10">
      <c r="E5" s="382"/>
      <c r="F5" s="890" t="s">
        <v>307</v>
      </c>
      <c r="G5" s="890"/>
      <c r="H5" s="890"/>
    </row>
    <row r="6" spans="1:10">
      <c r="E6" s="890" t="s">
        <v>1100</v>
      </c>
      <c r="F6" s="890"/>
      <c r="G6" s="890"/>
      <c r="H6" s="890"/>
    </row>
    <row r="7" spans="1:10" ht="15.75" customHeight="1">
      <c r="D7" s="72"/>
      <c r="E7" s="890" t="s">
        <v>1101</v>
      </c>
      <c r="F7" s="890"/>
      <c r="G7" s="890"/>
      <c r="H7" s="890"/>
    </row>
    <row r="8" spans="1:10">
      <c r="G8" s="85" t="s">
        <v>122</v>
      </c>
    </row>
    <row r="9" spans="1:10" ht="15.75" customHeight="1">
      <c r="A9" s="886" t="s">
        <v>1098</v>
      </c>
      <c r="B9" s="886"/>
      <c r="C9" s="886"/>
      <c r="D9" s="886"/>
      <c r="E9" s="886"/>
      <c r="F9" s="886"/>
      <c r="G9" s="886"/>
      <c r="H9" s="344"/>
    </row>
    <row r="10" spans="1:10">
      <c r="A10" s="886"/>
      <c r="B10" s="886"/>
      <c r="C10" s="886"/>
      <c r="D10" s="886"/>
      <c r="E10" s="886"/>
      <c r="F10" s="886"/>
      <c r="G10" s="886"/>
      <c r="H10" s="344"/>
    </row>
    <row r="11" spans="1:10">
      <c r="B11" s="86"/>
      <c r="C11" s="86"/>
      <c r="D11" s="86"/>
      <c r="E11" s="120"/>
      <c r="F11" s="87"/>
      <c r="G11" s="649" t="s">
        <v>155</v>
      </c>
      <c r="H11" s="585" t="s">
        <v>155</v>
      </c>
    </row>
    <row r="12" spans="1:10" s="90" customFormat="1" ht="31.5">
      <c r="A12" s="93" t="s">
        <v>209</v>
      </c>
      <c r="B12" s="93" t="s">
        <v>305</v>
      </c>
      <c r="C12" s="93" t="s">
        <v>210</v>
      </c>
      <c r="D12" s="93" t="s">
        <v>211</v>
      </c>
      <c r="E12" s="117" t="s">
        <v>212</v>
      </c>
      <c r="F12" s="93" t="s">
        <v>213</v>
      </c>
      <c r="G12" s="89" t="s">
        <v>762</v>
      </c>
      <c r="H12" s="371" t="s">
        <v>1099</v>
      </c>
      <c r="I12" s="495"/>
    </row>
    <row r="13" spans="1:10" s="90" customFormat="1">
      <c r="A13" s="124" t="s">
        <v>197</v>
      </c>
      <c r="B13" s="99">
        <v>930</v>
      </c>
      <c r="C13" s="100"/>
      <c r="D13" s="100"/>
      <c r="E13" s="100"/>
      <c r="F13" s="100"/>
      <c r="G13" s="101">
        <f>G14</f>
        <v>3590.59</v>
      </c>
      <c r="H13" s="101">
        <f>H14</f>
        <v>3590.59</v>
      </c>
      <c r="I13" s="495"/>
    </row>
    <row r="14" spans="1:10" s="90" customFormat="1">
      <c r="A14" s="80" t="s">
        <v>229</v>
      </c>
      <c r="B14" s="102">
        <v>930</v>
      </c>
      <c r="C14" s="103" t="s">
        <v>215</v>
      </c>
      <c r="D14" s="103"/>
      <c r="E14" s="103"/>
      <c r="F14" s="103"/>
      <c r="G14" s="104">
        <f>G15+G27</f>
        <v>3590.59</v>
      </c>
      <c r="H14" s="104">
        <f>H15+H27</f>
        <v>3590.59</v>
      </c>
      <c r="I14" s="495"/>
      <c r="J14" s="147"/>
    </row>
    <row r="15" spans="1:10" s="90" customFormat="1" ht="47.25">
      <c r="A15" s="79" t="s">
        <v>353</v>
      </c>
      <c r="B15" s="105">
        <v>930</v>
      </c>
      <c r="C15" s="106" t="s">
        <v>215</v>
      </c>
      <c r="D15" s="106" t="s">
        <v>218</v>
      </c>
      <c r="E15" s="103"/>
      <c r="F15" s="106"/>
      <c r="G15" s="107">
        <f>G16+G24</f>
        <v>1860.7874999999999</v>
      </c>
      <c r="H15" s="107">
        <f>H16+H24</f>
        <v>1860.7874999999999</v>
      </c>
      <c r="I15" s="495"/>
    </row>
    <row r="16" spans="1:10" s="90" customFormat="1" ht="31.5">
      <c r="A16" s="77" t="s">
        <v>424</v>
      </c>
      <c r="B16" s="97">
        <v>930</v>
      </c>
      <c r="C16" s="95" t="s">
        <v>215</v>
      </c>
      <c r="D16" s="95" t="s">
        <v>218</v>
      </c>
      <c r="E16" s="96" t="s">
        <v>526</v>
      </c>
      <c r="F16" s="95"/>
      <c r="G16" s="108">
        <f>G17+G21</f>
        <v>1480.7874999999999</v>
      </c>
      <c r="H16" s="108">
        <f>H17+H21</f>
        <v>1480.7874999999999</v>
      </c>
      <c r="I16" s="575">
        <f>G16+G24</f>
        <v>1860.7874999999999</v>
      </c>
    </row>
    <row r="17" spans="1:11" s="90" customFormat="1">
      <c r="A17" s="74" t="s">
        <v>394</v>
      </c>
      <c r="B17" s="97">
        <v>930</v>
      </c>
      <c r="C17" s="95" t="s">
        <v>215</v>
      </c>
      <c r="D17" s="95" t="s">
        <v>218</v>
      </c>
      <c r="E17" s="96" t="s">
        <v>528</v>
      </c>
      <c r="F17" s="95"/>
      <c r="G17" s="202">
        <f>G18+G19+G20</f>
        <v>315.6277</v>
      </c>
      <c r="H17" s="202">
        <f>H18+H19+H20</f>
        <v>315.6277</v>
      </c>
      <c r="I17" s="495"/>
    </row>
    <row r="18" spans="1:11" s="90" customFormat="1">
      <c r="A18" s="76" t="s">
        <v>429</v>
      </c>
      <c r="B18" s="98">
        <v>930</v>
      </c>
      <c r="C18" s="96" t="s">
        <v>215</v>
      </c>
      <c r="D18" s="96" t="s">
        <v>218</v>
      </c>
      <c r="E18" s="96" t="s">
        <v>528</v>
      </c>
      <c r="F18" s="96" t="s">
        <v>412</v>
      </c>
      <c r="G18" s="200">
        <v>204.01769999999999</v>
      </c>
      <c r="H18" s="200">
        <v>204.01769999999999</v>
      </c>
      <c r="I18" s="495"/>
      <c r="K18" s="147"/>
    </row>
    <row r="19" spans="1:11" s="90" customFormat="1" ht="47.25">
      <c r="A19" s="196" t="s">
        <v>430</v>
      </c>
      <c r="B19" s="98">
        <v>930</v>
      </c>
      <c r="C19" s="96" t="s">
        <v>215</v>
      </c>
      <c r="D19" s="96" t="s">
        <v>218</v>
      </c>
      <c r="E19" s="96" t="s">
        <v>528</v>
      </c>
      <c r="F19" s="96" t="s">
        <v>431</v>
      </c>
      <c r="G19" s="200">
        <v>61.61</v>
      </c>
      <c r="H19" s="200">
        <v>61.61</v>
      </c>
      <c r="I19" s="495"/>
    </row>
    <row r="20" spans="1:11" s="90" customFormat="1" ht="31.5">
      <c r="A20" s="153" t="s">
        <v>275</v>
      </c>
      <c r="B20" s="98">
        <v>930</v>
      </c>
      <c r="C20" s="96" t="s">
        <v>215</v>
      </c>
      <c r="D20" s="96" t="s">
        <v>218</v>
      </c>
      <c r="E20" s="96" t="s">
        <v>528</v>
      </c>
      <c r="F20" s="96" t="s">
        <v>413</v>
      </c>
      <c r="G20" s="200">
        <v>50</v>
      </c>
      <c r="H20" s="200">
        <v>50</v>
      </c>
      <c r="I20" s="495"/>
    </row>
    <row r="21" spans="1:11" s="90" customFormat="1" ht="35.25" customHeight="1">
      <c r="A21" s="77" t="s">
        <v>386</v>
      </c>
      <c r="B21" s="98">
        <v>930</v>
      </c>
      <c r="C21" s="95" t="s">
        <v>215</v>
      </c>
      <c r="D21" s="95" t="s">
        <v>218</v>
      </c>
      <c r="E21" s="96" t="s">
        <v>529</v>
      </c>
      <c r="F21" s="95"/>
      <c r="G21" s="202">
        <f>G22+G23</f>
        <v>1165.1597999999999</v>
      </c>
      <c r="H21" s="202">
        <f>H22+H23</f>
        <v>1165.1597999999999</v>
      </c>
      <c r="I21" s="495"/>
    </row>
    <row r="22" spans="1:11" s="90" customFormat="1">
      <c r="A22" s="76" t="s">
        <v>429</v>
      </c>
      <c r="B22" s="98">
        <v>930</v>
      </c>
      <c r="C22" s="96" t="s">
        <v>215</v>
      </c>
      <c r="D22" s="96" t="s">
        <v>218</v>
      </c>
      <c r="E22" s="96" t="s">
        <v>529</v>
      </c>
      <c r="F22" s="96" t="s">
        <v>412</v>
      </c>
      <c r="G22" s="200">
        <v>894.9</v>
      </c>
      <c r="H22" s="200">
        <v>894.9</v>
      </c>
      <c r="I22" s="495"/>
    </row>
    <row r="23" spans="1:11" s="90" customFormat="1" ht="45" customHeight="1">
      <c r="A23" s="196" t="s">
        <v>430</v>
      </c>
      <c r="B23" s="98">
        <v>930</v>
      </c>
      <c r="C23" s="96" t="s">
        <v>215</v>
      </c>
      <c r="D23" s="96" t="s">
        <v>218</v>
      </c>
      <c r="E23" s="96" t="s">
        <v>529</v>
      </c>
      <c r="F23" s="96" t="s">
        <v>431</v>
      </c>
      <c r="G23" s="200">
        <v>270.25979999999998</v>
      </c>
      <c r="H23" s="200">
        <v>270.25979999999998</v>
      </c>
      <c r="I23" s="495"/>
    </row>
    <row r="24" spans="1:11" s="90" customFormat="1">
      <c r="A24" s="77" t="s">
        <v>161</v>
      </c>
      <c r="B24" s="97">
        <v>930</v>
      </c>
      <c r="C24" s="95" t="s">
        <v>215</v>
      </c>
      <c r="D24" s="95" t="s">
        <v>218</v>
      </c>
      <c r="E24" s="96" t="s">
        <v>530</v>
      </c>
      <c r="F24" s="95"/>
      <c r="G24" s="202">
        <f t="shared" ref="G24:H24" si="0">G25</f>
        <v>380</v>
      </c>
      <c r="H24" s="202">
        <f t="shared" si="0"/>
        <v>380</v>
      </c>
      <c r="I24" s="495"/>
    </row>
    <row r="25" spans="1:11" s="92" customFormat="1" ht="31.5">
      <c r="A25" s="77" t="s">
        <v>393</v>
      </c>
      <c r="B25" s="97">
        <v>930</v>
      </c>
      <c r="C25" s="95" t="s">
        <v>215</v>
      </c>
      <c r="D25" s="95" t="s">
        <v>218</v>
      </c>
      <c r="E25" s="96" t="s">
        <v>5</v>
      </c>
      <c r="F25" s="95"/>
      <c r="G25" s="202">
        <f>G26</f>
        <v>380</v>
      </c>
      <c r="H25" s="202">
        <f>H26</f>
        <v>380</v>
      </c>
      <c r="I25" s="496"/>
    </row>
    <row r="26" spans="1:11" s="90" customFormat="1" ht="51" customHeight="1">
      <c r="A26" s="170" t="s">
        <v>140</v>
      </c>
      <c r="B26" s="154">
        <v>930</v>
      </c>
      <c r="C26" s="150" t="s">
        <v>215</v>
      </c>
      <c r="D26" s="150" t="s">
        <v>218</v>
      </c>
      <c r="E26" s="96" t="s">
        <v>5</v>
      </c>
      <c r="F26" s="150" t="s">
        <v>141</v>
      </c>
      <c r="G26" s="149">
        <v>380</v>
      </c>
      <c r="H26" s="149">
        <v>380</v>
      </c>
      <c r="I26" s="495"/>
    </row>
    <row r="27" spans="1:11" s="90" customFormat="1" ht="31.5">
      <c r="A27" s="347" t="s">
        <v>159</v>
      </c>
      <c r="B27" s="348">
        <v>930</v>
      </c>
      <c r="C27" s="349" t="s">
        <v>215</v>
      </c>
      <c r="D27" s="349" t="s">
        <v>221</v>
      </c>
      <c r="E27" s="373"/>
      <c r="F27" s="349"/>
      <c r="G27" s="224">
        <f>G28+G31</f>
        <v>1729.8025000000002</v>
      </c>
      <c r="H27" s="224">
        <f>H28+H31</f>
        <v>1729.8025000000002</v>
      </c>
      <c r="I27" s="578">
        <f>H27+H40</f>
        <v>7972.8225000000002</v>
      </c>
      <c r="J27" s="147"/>
    </row>
    <row r="28" spans="1:11" s="90" customFormat="1" ht="31.5">
      <c r="A28" s="223" t="s">
        <v>391</v>
      </c>
      <c r="B28" s="346">
        <v>930</v>
      </c>
      <c r="C28" s="201" t="s">
        <v>215</v>
      </c>
      <c r="D28" s="201" t="s">
        <v>221</v>
      </c>
      <c r="E28" s="205" t="s">
        <v>533</v>
      </c>
      <c r="F28" s="201"/>
      <c r="G28" s="202">
        <f>G29+G30</f>
        <v>435.572</v>
      </c>
      <c r="H28" s="202">
        <f>H29+H30</f>
        <v>435.572</v>
      </c>
      <c r="I28" s="495"/>
    </row>
    <row r="29" spans="1:11" s="90" customFormat="1">
      <c r="A29" s="76" t="s">
        <v>429</v>
      </c>
      <c r="B29" s="98">
        <v>930</v>
      </c>
      <c r="C29" s="96" t="s">
        <v>215</v>
      </c>
      <c r="D29" s="96" t="s">
        <v>221</v>
      </c>
      <c r="E29" s="205" t="s">
        <v>533</v>
      </c>
      <c r="F29" s="96" t="s">
        <v>412</v>
      </c>
      <c r="G29" s="149">
        <v>334.54079999999999</v>
      </c>
      <c r="H29" s="149">
        <v>334.54079999999999</v>
      </c>
      <c r="I29" s="495"/>
    </row>
    <row r="30" spans="1:11" s="90" customFormat="1" ht="47.25">
      <c r="A30" s="196" t="s">
        <v>430</v>
      </c>
      <c r="B30" s="98">
        <v>930</v>
      </c>
      <c r="C30" s="96" t="s">
        <v>215</v>
      </c>
      <c r="D30" s="96" t="s">
        <v>221</v>
      </c>
      <c r="E30" s="205" t="s">
        <v>533</v>
      </c>
      <c r="F30" s="96" t="s">
        <v>431</v>
      </c>
      <c r="G30" s="149">
        <v>101.0312</v>
      </c>
      <c r="H30" s="149">
        <v>101.0312</v>
      </c>
      <c r="I30" s="495"/>
    </row>
    <row r="31" spans="1:11" s="90" customFormat="1" ht="31.5">
      <c r="A31" s="223" t="s">
        <v>424</v>
      </c>
      <c r="B31" s="345">
        <v>930</v>
      </c>
      <c r="C31" s="201" t="s">
        <v>215</v>
      </c>
      <c r="D31" s="201" t="s">
        <v>221</v>
      </c>
      <c r="E31" s="205" t="s">
        <v>526</v>
      </c>
      <c r="F31" s="201"/>
      <c r="G31" s="200">
        <f>G32+G35</f>
        <v>1294.2305000000001</v>
      </c>
      <c r="H31" s="200">
        <f>H32+H35</f>
        <v>1294.2305000000001</v>
      </c>
      <c r="I31" s="495"/>
    </row>
    <row r="32" spans="1:11" s="90" customFormat="1" ht="31.5">
      <c r="A32" s="223" t="s">
        <v>387</v>
      </c>
      <c r="B32" s="346">
        <v>930</v>
      </c>
      <c r="C32" s="201" t="s">
        <v>215</v>
      </c>
      <c r="D32" s="201" t="s">
        <v>221</v>
      </c>
      <c r="E32" s="205" t="s">
        <v>534</v>
      </c>
      <c r="F32" s="201"/>
      <c r="G32" s="202">
        <f>G33+G34</f>
        <v>914.21249999999998</v>
      </c>
      <c r="H32" s="202">
        <f>H33+H34</f>
        <v>914.21249999999998</v>
      </c>
      <c r="I32" s="495"/>
    </row>
    <row r="33" spans="1:9" s="90" customFormat="1">
      <c r="A33" s="76" t="s">
        <v>429</v>
      </c>
      <c r="B33" s="98">
        <v>930</v>
      </c>
      <c r="C33" s="96" t="s">
        <v>215</v>
      </c>
      <c r="D33" s="96" t="s">
        <v>221</v>
      </c>
      <c r="E33" s="205" t="s">
        <v>534</v>
      </c>
      <c r="F33" s="96" t="s">
        <v>412</v>
      </c>
      <c r="G33" s="109">
        <v>702.16049999999996</v>
      </c>
      <c r="H33" s="109">
        <v>702.16049999999996</v>
      </c>
      <c r="I33" s="495"/>
    </row>
    <row r="34" spans="1:9" s="90" customFormat="1" ht="47.25">
      <c r="A34" s="196" t="s">
        <v>430</v>
      </c>
      <c r="B34" s="98">
        <v>930</v>
      </c>
      <c r="C34" s="96" t="s">
        <v>215</v>
      </c>
      <c r="D34" s="96" t="s">
        <v>221</v>
      </c>
      <c r="E34" s="205" t="s">
        <v>534</v>
      </c>
      <c r="F34" s="96" t="s">
        <v>431</v>
      </c>
      <c r="G34" s="109">
        <v>212.05199999999999</v>
      </c>
      <c r="H34" s="109">
        <v>212.05199999999999</v>
      </c>
      <c r="I34" s="495"/>
    </row>
    <row r="35" spans="1:9" s="92" customFormat="1" ht="31.5">
      <c r="A35" s="223" t="s">
        <v>243</v>
      </c>
      <c r="B35" s="345">
        <v>930</v>
      </c>
      <c r="C35" s="201" t="s">
        <v>215</v>
      </c>
      <c r="D35" s="201" t="s">
        <v>221</v>
      </c>
      <c r="E35" s="205" t="s">
        <v>535</v>
      </c>
      <c r="F35" s="201"/>
      <c r="G35" s="202">
        <f>G36+G37</f>
        <v>380.01800000000003</v>
      </c>
      <c r="H35" s="202">
        <f>H36+H37</f>
        <v>380.01800000000003</v>
      </c>
      <c r="I35" s="496"/>
    </row>
    <row r="36" spans="1:9" s="90" customFormat="1">
      <c r="A36" s="76" t="s">
        <v>429</v>
      </c>
      <c r="B36" s="98">
        <v>930</v>
      </c>
      <c r="C36" s="96" t="s">
        <v>215</v>
      </c>
      <c r="D36" s="96" t="s">
        <v>221</v>
      </c>
      <c r="E36" s="205" t="s">
        <v>535</v>
      </c>
      <c r="F36" s="96" t="s">
        <v>412</v>
      </c>
      <c r="G36" s="109">
        <v>291.8725</v>
      </c>
      <c r="H36" s="109">
        <v>291.8725</v>
      </c>
      <c r="I36" s="495"/>
    </row>
    <row r="37" spans="1:9" s="90" customFormat="1" ht="31.5">
      <c r="A37" s="76" t="s">
        <v>160</v>
      </c>
      <c r="B37" s="98">
        <v>930</v>
      </c>
      <c r="C37" s="96" t="s">
        <v>215</v>
      </c>
      <c r="D37" s="96" t="s">
        <v>221</v>
      </c>
      <c r="E37" s="205" t="s">
        <v>535</v>
      </c>
      <c r="F37" s="96" t="s">
        <v>431</v>
      </c>
      <c r="G37" s="109">
        <v>88.145499999999998</v>
      </c>
      <c r="H37" s="109">
        <v>88.145499999999998</v>
      </c>
      <c r="I37" s="495"/>
    </row>
    <row r="38" spans="1:9" s="90" customFormat="1">
      <c r="A38" s="124" t="s">
        <v>198</v>
      </c>
      <c r="B38" s="99">
        <v>931</v>
      </c>
      <c r="C38" s="100"/>
      <c r="D38" s="100"/>
      <c r="E38" s="100"/>
      <c r="F38" s="100"/>
      <c r="G38" s="101">
        <f>G39+G52</f>
        <v>31306.114000000001</v>
      </c>
      <c r="H38" s="101">
        <f>H39+H52</f>
        <v>30294.22</v>
      </c>
      <c r="I38" s="495"/>
    </row>
    <row r="39" spans="1:9">
      <c r="A39" s="80" t="s">
        <v>229</v>
      </c>
      <c r="B39" s="102">
        <v>931</v>
      </c>
      <c r="C39" s="103" t="s">
        <v>215</v>
      </c>
      <c r="D39" s="103"/>
      <c r="E39" s="103"/>
      <c r="F39" s="103"/>
      <c r="G39" s="104">
        <f>G40</f>
        <v>7258.6140000000005</v>
      </c>
      <c r="H39" s="104">
        <f>H40</f>
        <v>6243.02</v>
      </c>
    </row>
    <row r="40" spans="1:9" s="91" customFormat="1" ht="42.75" customHeight="1">
      <c r="A40" s="79" t="s">
        <v>159</v>
      </c>
      <c r="B40" s="105">
        <v>931</v>
      </c>
      <c r="C40" s="106" t="s">
        <v>215</v>
      </c>
      <c r="D40" s="106" t="s">
        <v>221</v>
      </c>
      <c r="E40" s="103"/>
      <c r="F40" s="106"/>
      <c r="G40" s="107">
        <f>G45+G41+G48</f>
        <v>7258.6140000000005</v>
      </c>
      <c r="H40" s="107">
        <f>H45+H41+H48</f>
        <v>6243.02</v>
      </c>
      <c r="I40" s="497"/>
    </row>
    <row r="41" spans="1:9" s="91" customFormat="1" ht="31.5">
      <c r="A41" s="174" t="s">
        <v>769</v>
      </c>
      <c r="B41" s="175">
        <v>931</v>
      </c>
      <c r="C41" s="176" t="s">
        <v>215</v>
      </c>
      <c r="D41" s="176" t="s">
        <v>221</v>
      </c>
      <c r="E41" s="185" t="s">
        <v>1064</v>
      </c>
      <c r="F41" s="177"/>
      <c r="G41" s="178">
        <f>G42</f>
        <v>1015.5940000000001</v>
      </c>
      <c r="H41" s="178">
        <f>H42</f>
        <v>0</v>
      </c>
      <c r="I41" s="497"/>
    </row>
    <row r="42" spans="1:9" s="91" customFormat="1" ht="43.5" customHeight="1">
      <c r="A42" s="223" t="s">
        <v>1007</v>
      </c>
      <c r="B42" s="346">
        <v>931</v>
      </c>
      <c r="C42" s="205" t="s">
        <v>215</v>
      </c>
      <c r="D42" s="205" t="s">
        <v>221</v>
      </c>
      <c r="E42" s="205" t="s">
        <v>978</v>
      </c>
      <c r="F42" s="702"/>
      <c r="G42" s="202">
        <f>G43+G44</f>
        <v>1015.5940000000001</v>
      </c>
      <c r="H42" s="202">
        <f>H43+H44</f>
        <v>0</v>
      </c>
      <c r="I42" s="497"/>
    </row>
    <row r="43" spans="1:9" ht="31.5">
      <c r="A43" s="126" t="s">
        <v>418</v>
      </c>
      <c r="B43" s="98">
        <v>931</v>
      </c>
      <c r="C43" s="96" t="s">
        <v>215</v>
      </c>
      <c r="D43" s="96" t="s">
        <v>221</v>
      </c>
      <c r="E43" s="150" t="s">
        <v>1063</v>
      </c>
      <c r="F43" s="110">
        <v>242</v>
      </c>
      <c r="G43" s="109">
        <v>738.34400000000005</v>
      </c>
      <c r="H43" s="109">
        <v>0</v>
      </c>
    </row>
    <row r="44" spans="1:9" ht="31.5">
      <c r="A44" s="153" t="s">
        <v>275</v>
      </c>
      <c r="B44" s="98">
        <v>931</v>
      </c>
      <c r="C44" s="96" t="s">
        <v>215</v>
      </c>
      <c r="D44" s="96" t="s">
        <v>221</v>
      </c>
      <c r="E44" s="150" t="s">
        <v>1063</v>
      </c>
      <c r="F44" s="110">
        <v>244</v>
      </c>
      <c r="G44" s="109">
        <f>477.25-200</f>
        <v>277.25</v>
      </c>
      <c r="H44" s="109">
        <v>0</v>
      </c>
    </row>
    <row r="45" spans="1:9" s="90" customFormat="1" ht="31.5">
      <c r="A45" s="77" t="s">
        <v>199</v>
      </c>
      <c r="B45" s="98">
        <v>931</v>
      </c>
      <c r="C45" s="95" t="s">
        <v>215</v>
      </c>
      <c r="D45" s="95" t="s">
        <v>221</v>
      </c>
      <c r="E45" s="96" t="s">
        <v>532</v>
      </c>
      <c r="F45" s="95"/>
      <c r="G45" s="108">
        <f>G46+G47</f>
        <v>3484.7999999999997</v>
      </c>
      <c r="H45" s="108">
        <f>H46+H47</f>
        <v>3484.7999999999997</v>
      </c>
      <c r="I45" s="495"/>
    </row>
    <row r="46" spans="1:9">
      <c r="A46" s="76" t="s">
        <v>429</v>
      </c>
      <c r="B46" s="98">
        <v>931</v>
      </c>
      <c r="C46" s="96" t="s">
        <v>215</v>
      </c>
      <c r="D46" s="96" t="s">
        <v>221</v>
      </c>
      <c r="E46" s="96" t="s">
        <v>532</v>
      </c>
      <c r="F46" s="96" t="s">
        <v>412</v>
      </c>
      <c r="G46" s="109">
        <v>2676.4976999999999</v>
      </c>
      <c r="H46" s="109">
        <v>2676.4976999999999</v>
      </c>
    </row>
    <row r="47" spans="1:9" ht="47.25">
      <c r="A47" s="196" t="s">
        <v>430</v>
      </c>
      <c r="B47" s="98">
        <v>931</v>
      </c>
      <c r="C47" s="96" t="s">
        <v>215</v>
      </c>
      <c r="D47" s="96" t="s">
        <v>221</v>
      </c>
      <c r="E47" s="96" t="s">
        <v>532</v>
      </c>
      <c r="F47" s="96" t="s">
        <v>431</v>
      </c>
      <c r="G47" s="109">
        <v>808.30229999999995</v>
      </c>
      <c r="H47" s="109">
        <v>808.30229999999995</v>
      </c>
    </row>
    <row r="48" spans="1:9" ht="31.5">
      <c r="A48" s="77" t="s">
        <v>424</v>
      </c>
      <c r="B48" s="97">
        <v>931</v>
      </c>
      <c r="C48" s="95" t="s">
        <v>215</v>
      </c>
      <c r="D48" s="95" t="s">
        <v>221</v>
      </c>
      <c r="E48" s="96" t="s">
        <v>526</v>
      </c>
      <c r="F48" s="96"/>
      <c r="G48" s="109">
        <f t="shared" ref="G48:H48" si="1">G49</f>
        <v>2758.2200000000003</v>
      </c>
      <c r="H48" s="109">
        <f t="shared" si="1"/>
        <v>2758.2200000000003</v>
      </c>
    </row>
    <row r="49" spans="1:10">
      <c r="A49" s="74" t="s">
        <v>394</v>
      </c>
      <c r="B49" s="97">
        <v>931</v>
      </c>
      <c r="C49" s="95" t="s">
        <v>215</v>
      </c>
      <c r="D49" s="95" t="s">
        <v>221</v>
      </c>
      <c r="E49" s="96" t="s">
        <v>528</v>
      </c>
      <c r="F49" s="95"/>
      <c r="G49" s="109">
        <f>G50+G51</f>
        <v>2758.2200000000003</v>
      </c>
      <c r="H49" s="109">
        <f>H50+H51</f>
        <v>2758.2200000000003</v>
      </c>
    </row>
    <row r="50" spans="1:10">
      <c r="A50" s="76" t="s">
        <v>429</v>
      </c>
      <c r="B50" s="98">
        <v>931</v>
      </c>
      <c r="C50" s="96" t="s">
        <v>215</v>
      </c>
      <c r="D50" s="96" t="s">
        <v>221</v>
      </c>
      <c r="E50" s="96" t="s">
        <v>528</v>
      </c>
      <c r="F50" s="96" t="s">
        <v>412</v>
      </c>
      <c r="G50" s="109">
        <v>2118.4490000000001</v>
      </c>
      <c r="H50" s="109">
        <v>2118.4490000000001</v>
      </c>
    </row>
    <row r="51" spans="1:10" s="90" customFormat="1" ht="47.25">
      <c r="A51" s="196" t="s">
        <v>430</v>
      </c>
      <c r="B51" s="98">
        <v>931</v>
      </c>
      <c r="C51" s="96" t="s">
        <v>215</v>
      </c>
      <c r="D51" s="96" t="s">
        <v>221</v>
      </c>
      <c r="E51" s="96" t="s">
        <v>528</v>
      </c>
      <c r="F51" s="96" t="s">
        <v>431</v>
      </c>
      <c r="G51" s="149">
        <v>639.77099999999996</v>
      </c>
      <c r="H51" s="149">
        <v>639.77099999999996</v>
      </c>
      <c r="I51" s="495"/>
    </row>
    <row r="52" spans="1:10" s="91" customFormat="1" ht="31.5">
      <c r="A52" s="80" t="s">
        <v>158</v>
      </c>
      <c r="B52" s="102">
        <v>931</v>
      </c>
      <c r="C52" s="103" t="s">
        <v>228</v>
      </c>
      <c r="D52" s="103"/>
      <c r="E52" s="103"/>
      <c r="F52" s="103"/>
      <c r="G52" s="104">
        <f>G53+G61</f>
        <v>24047.5</v>
      </c>
      <c r="H52" s="104">
        <f>H53+H61</f>
        <v>24051.200000000001</v>
      </c>
      <c r="I52" s="498"/>
    </row>
    <row r="53" spans="1:10" s="91" customFormat="1" ht="31.5">
      <c r="A53" s="79" t="s">
        <v>590</v>
      </c>
      <c r="B53" s="105">
        <v>931</v>
      </c>
      <c r="C53" s="106" t="s">
        <v>228</v>
      </c>
      <c r="D53" s="106" t="s">
        <v>215</v>
      </c>
      <c r="E53" s="103"/>
      <c r="F53" s="106"/>
      <c r="G53" s="107">
        <f t="shared" ref="G53:H53" si="2">G54</f>
        <v>92</v>
      </c>
      <c r="H53" s="107">
        <f t="shared" si="2"/>
        <v>95.7</v>
      </c>
      <c r="I53" s="498"/>
      <c r="J53" s="206"/>
    </row>
    <row r="54" spans="1:10" s="91" customFormat="1" ht="31.5">
      <c r="A54" s="174" t="s">
        <v>769</v>
      </c>
      <c r="B54" s="183">
        <v>931</v>
      </c>
      <c r="C54" s="184" t="s">
        <v>228</v>
      </c>
      <c r="D54" s="184" t="s">
        <v>215</v>
      </c>
      <c r="E54" s="185" t="s">
        <v>567</v>
      </c>
      <c r="F54" s="184"/>
      <c r="G54" s="186">
        <f>G56</f>
        <v>92</v>
      </c>
      <c r="H54" s="186">
        <f>H58</f>
        <v>95.7</v>
      </c>
      <c r="I54" s="497"/>
    </row>
    <row r="55" spans="1:10" s="91" customFormat="1" ht="31.5">
      <c r="A55" s="223" t="s">
        <v>1008</v>
      </c>
      <c r="B55" s="701">
        <v>931</v>
      </c>
      <c r="C55" s="349" t="s">
        <v>228</v>
      </c>
      <c r="D55" s="349" t="s">
        <v>215</v>
      </c>
      <c r="E55" s="205" t="s">
        <v>1065</v>
      </c>
      <c r="F55" s="349"/>
      <c r="G55" s="224"/>
      <c r="H55" s="224"/>
      <c r="I55" s="497"/>
    </row>
    <row r="56" spans="1:10" ht="31.5">
      <c r="A56" s="77" t="s">
        <v>410</v>
      </c>
      <c r="B56" s="98">
        <v>931</v>
      </c>
      <c r="C56" s="96" t="s">
        <v>228</v>
      </c>
      <c r="D56" s="96" t="s">
        <v>215</v>
      </c>
      <c r="E56" s="150" t="s">
        <v>1066</v>
      </c>
      <c r="F56" s="96"/>
      <c r="G56" s="109">
        <f>G57</f>
        <v>92</v>
      </c>
      <c r="H56" s="109">
        <f>H57</f>
        <v>0</v>
      </c>
    </row>
    <row r="57" spans="1:10" ht="31.5">
      <c r="A57" s="241" t="s">
        <v>44</v>
      </c>
      <c r="B57" s="98">
        <v>931</v>
      </c>
      <c r="C57" s="96" t="s">
        <v>228</v>
      </c>
      <c r="D57" s="96" t="s">
        <v>215</v>
      </c>
      <c r="E57" s="150" t="s">
        <v>1066</v>
      </c>
      <c r="F57" s="96" t="s">
        <v>58</v>
      </c>
      <c r="G57" s="109">
        <v>92</v>
      </c>
      <c r="H57" s="109">
        <v>0</v>
      </c>
      <c r="I57" s="576">
        <f>G57</f>
        <v>92</v>
      </c>
      <c r="J57" s="85">
        <f>H57</f>
        <v>0</v>
      </c>
    </row>
    <row r="58" spans="1:10" ht="31.5">
      <c r="A58" s="77" t="s">
        <v>410</v>
      </c>
      <c r="B58" s="98">
        <v>931</v>
      </c>
      <c r="C58" s="96" t="s">
        <v>228</v>
      </c>
      <c r="D58" s="96" t="s">
        <v>215</v>
      </c>
      <c r="E58" s="150" t="s">
        <v>902</v>
      </c>
      <c r="F58" s="96"/>
      <c r="G58" s="109">
        <v>0</v>
      </c>
      <c r="H58" s="109">
        <f>H59</f>
        <v>95.7</v>
      </c>
      <c r="I58" s="576"/>
      <c r="J58" s="85"/>
    </row>
    <row r="59" spans="1:10">
      <c r="A59" s="76" t="s">
        <v>266</v>
      </c>
      <c r="B59" s="98">
        <v>931</v>
      </c>
      <c r="C59" s="96" t="s">
        <v>228</v>
      </c>
      <c r="D59" s="96" t="s">
        <v>215</v>
      </c>
      <c r="E59" s="150" t="s">
        <v>902</v>
      </c>
      <c r="F59" s="96" t="s">
        <v>56</v>
      </c>
      <c r="G59" s="109">
        <v>0</v>
      </c>
      <c r="H59" s="109">
        <f>H60</f>
        <v>95.7</v>
      </c>
      <c r="I59" s="576"/>
      <c r="J59" s="85"/>
    </row>
    <row r="60" spans="1:10" ht="31.5">
      <c r="A60" s="241" t="s">
        <v>44</v>
      </c>
      <c r="B60" s="98">
        <v>931</v>
      </c>
      <c r="C60" s="96" t="s">
        <v>228</v>
      </c>
      <c r="D60" s="96" t="s">
        <v>215</v>
      </c>
      <c r="E60" s="150" t="s">
        <v>902</v>
      </c>
      <c r="F60" s="96" t="s">
        <v>58</v>
      </c>
      <c r="G60" s="109">
        <v>0</v>
      </c>
      <c r="H60" s="109">
        <v>95.7</v>
      </c>
      <c r="I60" s="576"/>
      <c r="J60" s="85"/>
    </row>
    <row r="61" spans="1:10" s="91" customFormat="1">
      <c r="A61" s="79" t="s">
        <v>78</v>
      </c>
      <c r="B61" s="105">
        <v>931</v>
      </c>
      <c r="C61" s="106" t="s">
        <v>228</v>
      </c>
      <c r="D61" s="106" t="s">
        <v>218</v>
      </c>
      <c r="E61" s="103"/>
      <c r="F61" s="106"/>
      <c r="G61" s="107">
        <f>G62</f>
        <v>23955.5</v>
      </c>
      <c r="H61" s="107">
        <f>H62+H66</f>
        <v>23955.5</v>
      </c>
      <c r="I61" s="497"/>
    </row>
    <row r="62" spans="1:10" ht="31.5">
      <c r="A62" s="174" t="s">
        <v>769</v>
      </c>
      <c r="B62" s="192">
        <v>931</v>
      </c>
      <c r="C62" s="185" t="s">
        <v>228</v>
      </c>
      <c r="D62" s="185" t="s">
        <v>218</v>
      </c>
      <c r="E62" s="185" t="s">
        <v>975</v>
      </c>
      <c r="F62" s="185"/>
      <c r="G62" s="194">
        <f>G63</f>
        <v>23955.5</v>
      </c>
      <c r="H62" s="194">
        <f t="shared" ref="H62" si="3">H63</f>
        <v>0</v>
      </c>
    </row>
    <row r="63" spans="1:10" ht="38.25" customHeight="1">
      <c r="A63" s="223" t="s">
        <v>1008</v>
      </c>
      <c r="B63" s="98">
        <v>931</v>
      </c>
      <c r="C63" s="96" t="s">
        <v>228</v>
      </c>
      <c r="D63" s="96" t="s">
        <v>218</v>
      </c>
      <c r="E63" s="205" t="s">
        <v>1065</v>
      </c>
      <c r="F63" s="96"/>
      <c r="G63" s="109">
        <f>G64</f>
        <v>23955.5</v>
      </c>
      <c r="H63" s="109">
        <f>H65</f>
        <v>0</v>
      </c>
    </row>
    <row r="64" spans="1:10" ht="22.5" customHeight="1">
      <c r="A64" s="223" t="s">
        <v>976</v>
      </c>
      <c r="B64" s="98">
        <v>931</v>
      </c>
      <c r="C64" s="96" t="s">
        <v>228</v>
      </c>
      <c r="D64" s="96" t="s">
        <v>218</v>
      </c>
      <c r="E64" s="96" t="s">
        <v>1067</v>
      </c>
      <c r="F64" s="96"/>
      <c r="G64" s="109">
        <f>G65</f>
        <v>23955.5</v>
      </c>
      <c r="H64" s="109"/>
    </row>
    <row r="65" spans="1:10" ht="22.5" customHeight="1">
      <c r="A65" s="76" t="s">
        <v>411</v>
      </c>
      <c r="B65" s="98">
        <v>931</v>
      </c>
      <c r="C65" s="96" t="s">
        <v>228</v>
      </c>
      <c r="D65" s="96" t="s">
        <v>218</v>
      </c>
      <c r="E65" s="96" t="s">
        <v>1067</v>
      </c>
      <c r="F65" s="96" t="s">
        <v>422</v>
      </c>
      <c r="G65" s="109">
        <v>23955.5</v>
      </c>
      <c r="H65" s="109">
        <v>0</v>
      </c>
    </row>
    <row r="66" spans="1:10" ht="37.5" customHeight="1">
      <c r="A66" s="174" t="s">
        <v>931</v>
      </c>
      <c r="B66" s="98">
        <v>931</v>
      </c>
      <c r="C66" s="96" t="s">
        <v>228</v>
      </c>
      <c r="D66" s="96" t="s">
        <v>218</v>
      </c>
      <c r="E66" s="692">
        <v>9990062020</v>
      </c>
      <c r="F66" s="96"/>
      <c r="G66" s="109">
        <f>G67</f>
        <v>0</v>
      </c>
      <c r="H66" s="109">
        <f>H67</f>
        <v>23955.5</v>
      </c>
    </row>
    <row r="67" spans="1:10" ht="14.25" customHeight="1">
      <c r="A67" s="76" t="s">
        <v>411</v>
      </c>
      <c r="B67" s="98">
        <v>931</v>
      </c>
      <c r="C67" s="96" t="s">
        <v>228</v>
      </c>
      <c r="D67" s="96" t="s">
        <v>218</v>
      </c>
      <c r="E67" s="692">
        <v>9990062020</v>
      </c>
      <c r="F67" s="96" t="s">
        <v>422</v>
      </c>
      <c r="G67" s="109">
        <v>0</v>
      </c>
      <c r="H67" s="109">
        <v>23955.5</v>
      </c>
    </row>
    <row r="68" spans="1:10" s="90" customFormat="1">
      <c r="A68" s="124" t="s">
        <v>201</v>
      </c>
      <c r="B68" s="99">
        <v>934</v>
      </c>
      <c r="C68" s="100"/>
      <c r="D68" s="100"/>
      <c r="E68" s="100"/>
      <c r="F68" s="100"/>
      <c r="G68" s="101">
        <f>G69+G118+G125+G154+G159+G174+G186+G218+G239+G245</f>
        <v>153828.59125999999</v>
      </c>
      <c r="H68" s="101">
        <f>H69+H118+H125+H154+H159+H174+H186+H218+H239+H245</f>
        <v>148218.70263000001</v>
      </c>
      <c r="I68" s="495"/>
    </row>
    <row r="69" spans="1:10" s="92" customFormat="1">
      <c r="A69" s="80" t="s">
        <v>229</v>
      </c>
      <c r="B69" s="102">
        <v>934</v>
      </c>
      <c r="C69" s="103" t="s">
        <v>215</v>
      </c>
      <c r="D69" s="103"/>
      <c r="E69" s="103"/>
      <c r="F69" s="103"/>
      <c r="G69" s="104">
        <f>G70+G74+G88+G91+G94</f>
        <v>48045.197999999997</v>
      </c>
      <c r="H69" s="104">
        <f>H70+H74+H88+H91+H94</f>
        <v>47883.697999999997</v>
      </c>
      <c r="I69" s="495"/>
    </row>
    <row r="70" spans="1:10" s="91" customFormat="1" ht="31.5">
      <c r="A70" s="79" t="s">
        <v>392</v>
      </c>
      <c r="B70" s="105">
        <v>934</v>
      </c>
      <c r="C70" s="106" t="s">
        <v>215</v>
      </c>
      <c r="D70" s="106" t="s">
        <v>216</v>
      </c>
      <c r="E70" s="103"/>
      <c r="F70" s="106"/>
      <c r="G70" s="107">
        <f>G71</f>
        <v>2091.87</v>
      </c>
      <c r="H70" s="107">
        <f>H71</f>
        <v>2091.87</v>
      </c>
      <c r="I70" s="495"/>
      <c r="J70" s="206"/>
    </row>
    <row r="71" spans="1:10" s="90" customFormat="1" ht="31.5">
      <c r="A71" s="76" t="s">
        <v>424</v>
      </c>
      <c r="B71" s="98">
        <v>934</v>
      </c>
      <c r="C71" s="95" t="s">
        <v>215</v>
      </c>
      <c r="D71" s="95" t="s">
        <v>216</v>
      </c>
      <c r="E71" s="96" t="s">
        <v>526</v>
      </c>
      <c r="F71" s="95"/>
      <c r="G71" s="109">
        <f>G72+G73</f>
        <v>2091.87</v>
      </c>
      <c r="H71" s="109">
        <f>H72+H73</f>
        <v>2091.87</v>
      </c>
      <c r="I71" s="495"/>
    </row>
    <row r="72" spans="1:10">
      <c r="A72" s="76" t="s">
        <v>429</v>
      </c>
      <c r="B72" s="98">
        <v>934</v>
      </c>
      <c r="C72" s="96" t="s">
        <v>215</v>
      </c>
      <c r="D72" s="96" t="s">
        <v>216</v>
      </c>
      <c r="E72" s="96" t="s">
        <v>526</v>
      </c>
      <c r="F72" s="96" t="s">
        <v>412</v>
      </c>
      <c r="G72" s="109">
        <v>1606.6589799999999</v>
      </c>
      <c r="H72" s="109">
        <v>1606.6589799999999</v>
      </c>
      <c r="I72" s="495"/>
    </row>
    <row r="73" spans="1:10" ht="47.25">
      <c r="A73" s="196" t="s">
        <v>430</v>
      </c>
      <c r="B73" s="98">
        <v>934</v>
      </c>
      <c r="C73" s="96" t="s">
        <v>215</v>
      </c>
      <c r="D73" s="96" t="s">
        <v>216</v>
      </c>
      <c r="E73" s="96" t="s">
        <v>526</v>
      </c>
      <c r="F73" s="96" t="s">
        <v>431</v>
      </c>
      <c r="G73" s="109">
        <v>485.21102000000002</v>
      </c>
      <c r="H73" s="109">
        <v>485.21102000000002</v>
      </c>
      <c r="I73" s="495"/>
    </row>
    <row r="74" spans="1:10" s="91" customFormat="1" ht="47.25">
      <c r="A74" s="79" t="s">
        <v>274</v>
      </c>
      <c r="B74" s="105">
        <v>934</v>
      </c>
      <c r="C74" s="106" t="s">
        <v>215</v>
      </c>
      <c r="D74" s="106" t="s">
        <v>224</v>
      </c>
      <c r="E74" s="103"/>
      <c r="F74" s="106"/>
      <c r="G74" s="107">
        <f>G79+G75</f>
        <v>11223.57</v>
      </c>
      <c r="H74" s="107">
        <f>H79+H75</f>
        <v>11223.57</v>
      </c>
      <c r="I74" s="495"/>
    </row>
    <row r="75" spans="1:10" s="91" customFormat="1" ht="47.25">
      <c r="A75" s="174" t="s">
        <v>895</v>
      </c>
      <c r="B75" s="175">
        <v>934</v>
      </c>
      <c r="C75" s="176" t="s">
        <v>215</v>
      </c>
      <c r="D75" s="176" t="s">
        <v>224</v>
      </c>
      <c r="E75" s="176" t="s">
        <v>566</v>
      </c>
      <c r="F75" s="176"/>
      <c r="G75" s="178">
        <f t="shared" ref="G75:H77" si="4">G76</f>
        <v>125</v>
      </c>
      <c r="H75" s="178">
        <f t="shared" si="4"/>
        <v>125</v>
      </c>
      <c r="I75" s="495"/>
    </row>
    <row r="76" spans="1:10" s="91" customFormat="1" ht="45" customHeight="1">
      <c r="A76" s="189" t="s">
        <v>1117</v>
      </c>
      <c r="B76" s="190">
        <v>934</v>
      </c>
      <c r="C76" s="187" t="s">
        <v>215</v>
      </c>
      <c r="D76" s="187" t="s">
        <v>224</v>
      </c>
      <c r="E76" s="205" t="s">
        <v>531</v>
      </c>
      <c r="F76" s="181"/>
      <c r="G76" s="182">
        <f t="shared" si="4"/>
        <v>125</v>
      </c>
      <c r="H76" s="182">
        <f t="shared" si="4"/>
        <v>125</v>
      </c>
      <c r="I76" s="495"/>
    </row>
    <row r="77" spans="1:10" s="91" customFormat="1" ht="42" customHeight="1">
      <c r="A77" s="223" t="s">
        <v>1118</v>
      </c>
      <c r="B77" s="346">
        <v>934</v>
      </c>
      <c r="C77" s="205" t="s">
        <v>215</v>
      </c>
      <c r="D77" s="205" t="s">
        <v>224</v>
      </c>
      <c r="E77" s="205" t="s">
        <v>531</v>
      </c>
      <c r="F77" s="201"/>
      <c r="G77" s="202">
        <f t="shared" si="4"/>
        <v>125</v>
      </c>
      <c r="H77" s="202">
        <f t="shared" si="4"/>
        <v>125</v>
      </c>
      <c r="I77" s="495"/>
    </row>
    <row r="78" spans="1:10" s="91" customFormat="1" ht="31.5">
      <c r="A78" s="153" t="s">
        <v>275</v>
      </c>
      <c r="B78" s="98">
        <v>934</v>
      </c>
      <c r="C78" s="96" t="s">
        <v>215</v>
      </c>
      <c r="D78" s="96" t="s">
        <v>224</v>
      </c>
      <c r="E78" s="205" t="s">
        <v>531</v>
      </c>
      <c r="F78" s="110">
        <v>244</v>
      </c>
      <c r="G78" s="109">
        <v>125</v>
      </c>
      <c r="H78" s="109">
        <v>125</v>
      </c>
      <c r="I78" s="495"/>
    </row>
    <row r="79" spans="1:10">
      <c r="A79" s="126" t="s">
        <v>118</v>
      </c>
      <c r="B79" s="98">
        <v>934</v>
      </c>
      <c r="C79" s="96" t="s">
        <v>215</v>
      </c>
      <c r="D79" s="96" t="s">
        <v>224</v>
      </c>
      <c r="E79" s="96" t="s">
        <v>3</v>
      </c>
      <c r="F79" s="110"/>
      <c r="G79" s="109">
        <f>G80+G85+G87</f>
        <v>11098.57</v>
      </c>
      <c r="H79" s="109">
        <f>H80+H85+H87</f>
        <v>11098.57</v>
      </c>
      <c r="I79" s="495"/>
    </row>
    <row r="80" spans="1:10" s="90" customFormat="1" ht="31.5">
      <c r="A80" s="77" t="s">
        <v>424</v>
      </c>
      <c r="B80" s="97">
        <v>934</v>
      </c>
      <c r="C80" s="95" t="s">
        <v>215</v>
      </c>
      <c r="D80" s="95" t="s">
        <v>224</v>
      </c>
      <c r="E80" s="96" t="s">
        <v>526</v>
      </c>
      <c r="F80" s="95"/>
      <c r="G80" s="108">
        <f t="shared" ref="G80:H80" si="5">G81</f>
        <v>9549.2199999999993</v>
      </c>
      <c r="H80" s="108">
        <f t="shared" si="5"/>
        <v>9549.2199999999993</v>
      </c>
      <c r="I80" s="495"/>
    </row>
    <row r="81" spans="1:10" s="91" customFormat="1">
      <c r="A81" s="74" t="s">
        <v>394</v>
      </c>
      <c r="B81" s="97">
        <v>934</v>
      </c>
      <c r="C81" s="95" t="s">
        <v>215</v>
      </c>
      <c r="D81" s="95" t="s">
        <v>224</v>
      </c>
      <c r="E81" s="96" t="s">
        <v>528</v>
      </c>
      <c r="F81" s="95"/>
      <c r="G81" s="108">
        <f>G82+G83</f>
        <v>9549.2199999999993</v>
      </c>
      <c r="H81" s="108">
        <f>H82+H83</f>
        <v>9549.2199999999993</v>
      </c>
      <c r="I81" s="495"/>
    </row>
    <row r="82" spans="1:10">
      <c r="A82" s="76" t="s">
        <v>429</v>
      </c>
      <c r="B82" s="98">
        <v>934</v>
      </c>
      <c r="C82" s="96" t="s">
        <v>215</v>
      </c>
      <c r="D82" s="96" t="s">
        <v>224</v>
      </c>
      <c r="E82" s="96" t="s">
        <v>528</v>
      </c>
      <c r="F82" s="96" t="s">
        <v>412</v>
      </c>
      <c r="G82" s="109">
        <v>7334.2703499999998</v>
      </c>
      <c r="H82" s="109">
        <v>7334.2703499999998</v>
      </c>
      <c r="I82" s="495"/>
    </row>
    <row r="83" spans="1:10" ht="45" customHeight="1">
      <c r="A83" s="196" t="s">
        <v>430</v>
      </c>
      <c r="B83" s="98">
        <v>934</v>
      </c>
      <c r="C83" s="96" t="s">
        <v>215</v>
      </c>
      <c r="D83" s="96" t="s">
        <v>224</v>
      </c>
      <c r="E83" s="96" t="s">
        <v>528</v>
      </c>
      <c r="F83" s="96" t="s">
        <v>431</v>
      </c>
      <c r="G83" s="109">
        <v>2214.94965</v>
      </c>
      <c r="H83" s="109">
        <v>2214.94965</v>
      </c>
      <c r="I83" s="495"/>
    </row>
    <row r="84" spans="1:10">
      <c r="A84" s="77" t="s">
        <v>161</v>
      </c>
      <c r="B84" s="98">
        <v>934</v>
      </c>
      <c r="C84" s="96" t="s">
        <v>215</v>
      </c>
      <c r="D84" s="96" t="s">
        <v>224</v>
      </c>
      <c r="E84" s="96" t="s">
        <v>530</v>
      </c>
      <c r="F84" s="96"/>
      <c r="G84" s="109">
        <f>G85+G87</f>
        <v>1549.35</v>
      </c>
      <c r="H84" s="109">
        <f>H85+H87</f>
        <v>1549.35</v>
      </c>
      <c r="I84" s="495"/>
    </row>
    <row r="85" spans="1:10" ht="31.5">
      <c r="A85" s="76" t="s">
        <v>393</v>
      </c>
      <c r="B85" s="98">
        <v>934</v>
      </c>
      <c r="C85" s="96" t="s">
        <v>215</v>
      </c>
      <c r="D85" s="96" t="s">
        <v>224</v>
      </c>
      <c r="E85" s="96" t="s">
        <v>5</v>
      </c>
      <c r="F85" s="96"/>
      <c r="G85" s="109">
        <f>G86</f>
        <v>300</v>
      </c>
      <c r="H85" s="109">
        <f>H86</f>
        <v>300</v>
      </c>
      <c r="I85" s="495"/>
    </row>
    <row r="86" spans="1:10" ht="31.5">
      <c r="A86" s="153" t="s">
        <v>275</v>
      </c>
      <c r="B86" s="98">
        <v>934</v>
      </c>
      <c r="C86" s="96" t="s">
        <v>215</v>
      </c>
      <c r="D86" s="96" t="s">
        <v>224</v>
      </c>
      <c r="E86" s="96" t="s">
        <v>5</v>
      </c>
      <c r="F86" s="96" t="s">
        <v>413</v>
      </c>
      <c r="G86" s="109">
        <v>300</v>
      </c>
      <c r="H86" s="109">
        <v>300</v>
      </c>
      <c r="I86" s="495"/>
    </row>
    <row r="87" spans="1:10">
      <c r="A87" s="76" t="s">
        <v>415</v>
      </c>
      <c r="B87" s="210">
        <v>934</v>
      </c>
      <c r="C87" s="96" t="s">
        <v>215</v>
      </c>
      <c r="D87" s="96" t="s">
        <v>224</v>
      </c>
      <c r="E87" s="96" t="s">
        <v>4</v>
      </c>
      <c r="F87" s="210">
        <v>851</v>
      </c>
      <c r="G87" s="109">
        <v>1249.3499999999999</v>
      </c>
      <c r="H87" s="109">
        <v>1249.3499999999999</v>
      </c>
      <c r="I87" s="495"/>
    </row>
    <row r="88" spans="1:10" s="92" customFormat="1">
      <c r="A88" s="79" t="s">
        <v>150</v>
      </c>
      <c r="B88" s="105">
        <v>934</v>
      </c>
      <c r="C88" s="106" t="s">
        <v>215</v>
      </c>
      <c r="D88" s="106" t="s">
        <v>225</v>
      </c>
      <c r="E88" s="103"/>
      <c r="F88" s="113"/>
      <c r="G88" s="107">
        <f t="shared" ref="G88:H88" si="6">G89</f>
        <v>171.20000000000002</v>
      </c>
      <c r="H88" s="107">
        <f t="shared" si="6"/>
        <v>9.6999999999999993</v>
      </c>
      <c r="I88" s="495"/>
    </row>
    <row r="89" spans="1:10" s="157" customFormat="1">
      <c r="A89" s="77" t="s">
        <v>142</v>
      </c>
      <c r="B89" s="97">
        <v>934</v>
      </c>
      <c r="C89" s="95" t="s">
        <v>215</v>
      </c>
      <c r="D89" s="95" t="s">
        <v>225</v>
      </c>
      <c r="E89" s="233" t="s">
        <v>582</v>
      </c>
      <c r="F89" s="111"/>
      <c r="G89" s="108">
        <f>G90</f>
        <v>171.20000000000002</v>
      </c>
      <c r="H89" s="108">
        <f>H90</f>
        <v>9.6999999999999993</v>
      </c>
      <c r="I89" s="495"/>
    </row>
    <row r="90" spans="1:10" ht="31.5">
      <c r="A90" s="153" t="s">
        <v>275</v>
      </c>
      <c r="B90" s="98">
        <v>934</v>
      </c>
      <c r="C90" s="96" t="s">
        <v>215</v>
      </c>
      <c r="D90" s="96" t="s">
        <v>225</v>
      </c>
      <c r="E90" s="233" t="s">
        <v>582</v>
      </c>
      <c r="F90" s="110">
        <v>244</v>
      </c>
      <c r="G90" s="109">
        <f>171.3-0.1</f>
        <v>171.20000000000002</v>
      </c>
      <c r="H90" s="109">
        <v>9.6999999999999993</v>
      </c>
      <c r="I90" s="495"/>
    </row>
    <row r="91" spans="1:10" s="91" customFormat="1">
      <c r="A91" s="79" t="s">
        <v>233</v>
      </c>
      <c r="B91" s="105">
        <v>934</v>
      </c>
      <c r="C91" s="106" t="s">
        <v>215</v>
      </c>
      <c r="D91" s="106" t="s">
        <v>223</v>
      </c>
      <c r="E91" s="103"/>
      <c r="F91" s="106"/>
      <c r="G91" s="107">
        <f>G92</f>
        <v>500</v>
      </c>
      <c r="H91" s="107">
        <f>H92</f>
        <v>500</v>
      </c>
      <c r="I91" s="495"/>
    </row>
    <row r="92" spans="1:10" s="91" customFormat="1">
      <c r="A92" s="77" t="s">
        <v>202</v>
      </c>
      <c r="B92" s="97">
        <v>934</v>
      </c>
      <c r="C92" s="95" t="s">
        <v>215</v>
      </c>
      <c r="D92" s="95" t="s">
        <v>223</v>
      </c>
      <c r="E92" s="96" t="s">
        <v>536</v>
      </c>
      <c r="F92" s="95"/>
      <c r="G92" s="108">
        <f>G93</f>
        <v>500</v>
      </c>
      <c r="H92" s="108">
        <f>H93</f>
        <v>500</v>
      </c>
      <c r="I92" s="495"/>
    </row>
    <row r="93" spans="1:10">
      <c r="A93" s="76" t="s">
        <v>42</v>
      </c>
      <c r="B93" s="98">
        <v>934</v>
      </c>
      <c r="C93" s="96" t="s">
        <v>215</v>
      </c>
      <c r="D93" s="96" t="s">
        <v>223</v>
      </c>
      <c r="E93" s="96" t="s">
        <v>536</v>
      </c>
      <c r="F93" s="96" t="s">
        <v>416</v>
      </c>
      <c r="G93" s="109">
        <v>500</v>
      </c>
      <c r="H93" s="109">
        <v>500</v>
      </c>
      <c r="I93" s="495"/>
    </row>
    <row r="94" spans="1:10" s="92" customFormat="1" ht="15" customHeight="1">
      <c r="A94" s="79" t="s">
        <v>230</v>
      </c>
      <c r="B94" s="105">
        <v>934</v>
      </c>
      <c r="C94" s="106" t="s">
        <v>215</v>
      </c>
      <c r="D94" s="106" t="s">
        <v>241</v>
      </c>
      <c r="E94" s="103"/>
      <c r="F94" s="106"/>
      <c r="G94" s="107">
        <f>G95+G105+G109+G114</f>
        <v>34058.557999999997</v>
      </c>
      <c r="H94" s="107">
        <f>H95+H105+H109+H114</f>
        <v>34058.557999999997</v>
      </c>
      <c r="I94" s="495"/>
      <c r="J94" s="214"/>
    </row>
    <row r="95" spans="1:10" ht="47.25">
      <c r="A95" s="691" t="s">
        <v>895</v>
      </c>
      <c r="B95" s="192">
        <v>934</v>
      </c>
      <c r="C95" s="176" t="s">
        <v>215</v>
      </c>
      <c r="D95" s="176" t="s">
        <v>241</v>
      </c>
      <c r="E95" s="690" t="s">
        <v>566</v>
      </c>
      <c r="F95" s="184"/>
      <c r="G95" s="186">
        <f>G96+G102</f>
        <v>32739.058000000001</v>
      </c>
      <c r="H95" s="186">
        <f>H96+H102</f>
        <v>32739.058000000001</v>
      </c>
      <c r="I95" s="495"/>
    </row>
    <row r="96" spans="1:10" ht="31.5">
      <c r="A96" s="179" t="s">
        <v>896</v>
      </c>
      <c r="B96" s="181" t="s">
        <v>203</v>
      </c>
      <c r="C96" s="181" t="s">
        <v>215</v>
      </c>
      <c r="D96" s="181" t="s">
        <v>241</v>
      </c>
      <c r="E96" s="181" t="s">
        <v>977</v>
      </c>
      <c r="F96" s="181"/>
      <c r="G96" s="182">
        <f>G97</f>
        <v>128.19999999999999</v>
      </c>
      <c r="H96" s="182">
        <f>H97</f>
        <v>128.19999999999999</v>
      </c>
      <c r="I96" s="495"/>
    </row>
    <row r="97" spans="1:10" ht="31.5">
      <c r="A97" s="179" t="s">
        <v>1009</v>
      </c>
      <c r="B97" s="181" t="s">
        <v>203</v>
      </c>
      <c r="C97" s="181" t="s">
        <v>215</v>
      </c>
      <c r="D97" s="181" t="s">
        <v>241</v>
      </c>
      <c r="E97" s="181" t="s">
        <v>981</v>
      </c>
      <c r="F97" s="181"/>
      <c r="G97" s="182">
        <f>G98+G100</f>
        <v>128.19999999999999</v>
      </c>
      <c r="H97" s="182">
        <f>H98+H100</f>
        <v>128.19999999999999</v>
      </c>
      <c r="I97" s="495"/>
    </row>
    <row r="98" spans="1:10" ht="47.25">
      <c r="A98" s="431" t="s">
        <v>738</v>
      </c>
      <c r="B98" s="95" t="s">
        <v>203</v>
      </c>
      <c r="C98" s="95" t="s">
        <v>215</v>
      </c>
      <c r="D98" s="95" t="s">
        <v>241</v>
      </c>
      <c r="E98" s="150" t="s">
        <v>982</v>
      </c>
      <c r="F98" s="159"/>
      <c r="G98" s="122">
        <f>G99</f>
        <v>64.099999999999994</v>
      </c>
      <c r="H98" s="122">
        <f>H99</f>
        <v>64.099999999999994</v>
      </c>
      <c r="I98" s="495"/>
    </row>
    <row r="99" spans="1:10" ht="31.5">
      <c r="A99" s="153" t="s">
        <v>275</v>
      </c>
      <c r="B99" s="96" t="s">
        <v>203</v>
      </c>
      <c r="C99" s="96" t="s">
        <v>215</v>
      </c>
      <c r="D99" s="96" t="s">
        <v>241</v>
      </c>
      <c r="E99" s="150" t="s">
        <v>982</v>
      </c>
      <c r="F99" s="96" t="s">
        <v>413</v>
      </c>
      <c r="G99" s="109">
        <v>64.099999999999994</v>
      </c>
      <c r="H99" s="109">
        <v>64.099999999999994</v>
      </c>
      <c r="I99" s="495"/>
    </row>
    <row r="100" spans="1:10" ht="47.25">
      <c r="A100" s="431" t="s">
        <v>577</v>
      </c>
      <c r="B100" s="159" t="s">
        <v>203</v>
      </c>
      <c r="C100" s="159" t="s">
        <v>215</v>
      </c>
      <c r="D100" s="159" t="s">
        <v>241</v>
      </c>
      <c r="E100" s="150" t="s">
        <v>982</v>
      </c>
      <c r="F100" s="159"/>
      <c r="G100" s="122">
        <f>G101</f>
        <v>64.099999999999994</v>
      </c>
      <c r="H100" s="122">
        <f>H101</f>
        <v>64.099999999999994</v>
      </c>
      <c r="I100" s="495"/>
    </row>
    <row r="101" spans="1:10" ht="31.5">
      <c r="A101" s="153" t="s">
        <v>275</v>
      </c>
      <c r="B101" s="96" t="s">
        <v>203</v>
      </c>
      <c r="C101" s="96" t="s">
        <v>215</v>
      </c>
      <c r="D101" s="96" t="s">
        <v>241</v>
      </c>
      <c r="E101" s="150" t="s">
        <v>982</v>
      </c>
      <c r="F101" s="96" t="s">
        <v>413</v>
      </c>
      <c r="G101" s="109">
        <v>64.099999999999994</v>
      </c>
      <c r="H101" s="109">
        <v>64.099999999999994</v>
      </c>
      <c r="I101" s="495"/>
    </row>
    <row r="102" spans="1:10" ht="31.5">
      <c r="A102" s="189" t="s">
        <v>1117</v>
      </c>
      <c r="B102" s="190">
        <v>934</v>
      </c>
      <c r="C102" s="181" t="s">
        <v>215</v>
      </c>
      <c r="D102" s="181" t="s">
        <v>241</v>
      </c>
      <c r="E102" s="187" t="s">
        <v>531</v>
      </c>
      <c r="F102" s="181"/>
      <c r="G102" s="182">
        <f>G103</f>
        <v>32610.858</v>
      </c>
      <c r="H102" s="195">
        <f>H103</f>
        <v>32610.858</v>
      </c>
      <c r="I102" s="495"/>
    </row>
    <row r="103" spans="1:10" ht="46.5" customHeight="1">
      <c r="A103" s="223" t="s">
        <v>1118</v>
      </c>
      <c r="B103" s="345">
        <v>934</v>
      </c>
      <c r="C103" s="201" t="s">
        <v>215</v>
      </c>
      <c r="D103" s="201" t="s">
        <v>224</v>
      </c>
      <c r="E103" s="201" t="s">
        <v>531</v>
      </c>
      <c r="F103" s="201"/>
      <c r="G103" s="202">
        <f>G104</f>
        <v>32610.858</v>
      </c>
      <c r="H103" s="200">
        <f>H104</f>
        <v>32610.858</v>
      </c>
      <c r="I103" s="495"/>
    </row>
    <row r="104" spans="1:10" ht="47.25">
      <c r="A104" s="76" t="s">
        <v>270</v>
      </c>
      <c r="B104" s="154">
        <v>934</v>
      </c>
      <c r="C104" s="96" t="s">
        <v>215</v>
      </c>
      <c r="D104" s="96" t="s">
        <v>241</v>
      </c>
      <c r="E104" s="96" t="s">
        <v>531</v>
      </c>
      <c r="F104" s="96" t="s">
        <v>420</v>
      </c>
      <c r="G104" s="109">
        <f>32996.328+945.92+109.61+59-1500</f>
        <v>32610.858</v>
      </c>
      <c r="H104" s="109">
        <f>32996.328+945.92+109.61+59-1500</f>
        <v>32610.858</v>
      </c>
      <c r="I104" s="495"/>
    </row>
    <row r="105" spans="1:10" s="157" customFormat="1" ht="31.5">
      <c r="A105" s="77" t="s">
        <v>436</v>
      </c>
      <c r="B105" s="95">
        <v>934</v>
      </c>
      <c r="C105" s="95" t="s">
        <v>215</v>
      </c>
      <c r="D105" s="95" t="s">
        <v>241</v>
      </c>
      <c r="E105" s="96" t="s">
        <v>432</v>
      </c>
      <c r="F105" s="95"/>
      <c r="G105" s="108">
        <f>G106+G107+G108</f>
        <v>175.70000000000002</v>
      </c>
      <c r="H105" s="108">
        <f>H106+H107+H108</f>
        <v>175.70000000000002</v>
      </c>
      <c r="I105" s="578">
        <f>G105</f>
        <v>175.70000000000002</v>
      </c>
      <c r="J105" s="643">
        <f>H105</f>
        <v>175.70000000000002</v>
      </c>
    </row>
    <row r="106" spans="1:10">
      <c r="A106" s="76" t="s">
        <v>429</v>
      </c>
      <c r="B106" s="96">
        <v>934</v>
      </c>
      <c r="C106" s="96" t="s">
        <v>215</v>
      </c>
      <c r="D106" s="96" t="s">
        <v>241</v>
      </c>
      <c r="E106" s="96" t="s">
        <v>432</v>
      </c>
      <c r="F106" s="96" t="s">
        <v>412</v>
      </c>
      <c r="G106" s="109">
        <v>106.98924</v>
      </c>
      <c r="H106" s="109">
        <v>106.98924</v>
      </c>
      <c r="I106" s="495"/>
    </row>
    <row r="107" spans="1:10" ht="47.25">
      <c r="A107" s="196" t="s">
        <v>430</v>
      </c>
      <c r="B107" s="96">
        <v>934</v>
      </c>
      <c r="C107" s="96" t="s">
        <v>215</v>
      </c>
      <c r="D107" s="96" t="s">
        <v>241</v>
      </c>
      <c r="E107" s="96" t="s">
        <v>432</v>
      </c>
      <c r="F107" s="96" t="s">
        <v>431</v>
      </c>
      <c r="G107" s="109">
        <v>32.310760000000002</v>
      </c>
      <c r="H107" s="109">
        <v>32.310760000000002</v>
      </c>
      <c r="I107" s="495"/>
    </row>
    <row r="108" spans="1:10" ht="31.5">
      <c r="A108" s="153" t="s">
        <v>275</v>
      </c>
      <c r="B108" s="96">
        <v>934</v>
      </c>
      <c r="C108" s="96" t="s">
        <v>215</v>
      </c>
      <c r="D108" s="96" t="s">
        <v>241</v>
      </c>
      <c r="E108" s="96" t="s">
        <v>432</v>
      </c>
      <c r="F108" s="96" t="s">
        <v>413</v>
      </c>
      <c r="G108" s="109">
        <v>36.4</v>
      </c>
      <c r="H108" s="109">
        <v>36.4</v>
      </c>
      <c r="I108" s="495"/>
    </row>
    <row r="109" spans="1:10" s="91" customFormat="1" ht="47.25">
      <c r="A109" s="77" t="s">
        <v>55</v>
      </c>
      <c r="B109" s="95">
        <v>934</v>
      </c>
      <c r="C109" s="95" t="s">
        <v>215</v>
      </c>
      <c r="D109" s="95" t="s">
        <v>241</v>
      </c>
      <c r="E109" s="96" t="s">
        <v>6</v>
      </c>
      <c r="F109" s="95"/>
      <c r="G109" s="108">
        <f>G110+G111+G112+G113</f>
        <v>870.59999999999991</v>
      </c>
      <c r="H109" s="108">
        <f>H110+H111+H112+H113</f>
        <v>870.59999999999991</v>
      </c>
      <c r="I109" s="578">
        <f>G109</f>
        <v>870.59999999999991</v>
      </c>
      <c r="J109" s="644">
        <f>H109</f>
        <v>870.59999999999991</v>
      </c>
    </row>
    <row r="110" spans="1:10">
      <c r="A110" s="76" t="s">
        <v>429</v>
      </c>
      <c r="B110" s="96">
        <v>934</v>
      </c>
      <c r="C110" s="96" t="s">
        <v>215</v>
      </c>
      <c r="D110" s="96" t="s">
        <v>241</v>
      </c>
      <c r="E110" s="96" t="s">
        <v>6</v>
      </c>
      <c r="F110" s="96" t="s">
        <v>412</v>
      </c>
      <c r="G110" s="109">
        <f>573.04167+24.65438</f>
        <v>597.6960499999999</v>
      </c>
      <c r="H110" s="109">
        <f>573.04167+24.65438</f>
        <v>597.6960499999999</v>
      </c>
      <c r="I110" s="495"/>
    </row>
    <row r="111" spans="1:10" ht="31.5">
      <c r="A111" s="76" t="s">
        <v>15</v>
      </c>
      <c r="B111" s="96">
        <v>934</v>
      </c>
      <c r="C111" s="96" t="s">
        <v>215</v>
      </c>
      <c r="D111" s="96" t="s">
        <v>241</v>
      </c>
      <c r="E111" s="96" t="s">
        <v>6</v>
      </c>
      <c r="F111" s="96" t="s">
        <v>417</v>
      </c>
      <c r="G111" s="109">
        <f>8.23</f>
        <v>8.23</v>
      </c>
      <c r="H111" s="109">
        <f>8.23</f>
        <v>8.23</v>
      </c>
      <c r="I111" s="495"/>
    </row>
    <row r="112" spans="1:10" ht="47.25">
      <c r="A112" s="196" t="s">
        <v>430</v>
      </c>
      <c r="B112" s="96">
        <v>934</v>
      </c>
      <c r="C112" s="96" t="s">
        <v>215</v>
      </c>
      <c r="D112" s="96" t="s">
        <v>241</v>
      </c>
      <c r="E112" s="96" t="s">
        <v>6</v>
      </c>
      <c r="F112" s="96" t="s">
        <v>431</v>
      </c>
      <c r="G112" s="109">
        <f>173.05833+7.44562</f>
        <v>180.50395</v>
      </c>
      <c r="H112" s="109">
        <f>173.05833+7.44562</f>
        <v>180.50395</v>
      </c>
      <c r="I112" s="495"/>
    </row>
    <row r="113" spans="1:10" ht="31.5">
      <c r="A113" s="153" t="s">
        <v>275</v>
      </c>
      <c r="B113" s="96">
        <v>934</v>
      </c>
      <c r="C113" s="96" t="s">
        <v>215</v>
      </c>
      <c r="D113" s="96" t="s">
        <v>241</v>
      </c>
      <c r="E113" s="96" t="s">
        <v>6</v>
      </c>
      <c r="F113" s="96" t="s">
        <v>413</v>
      </c>
      <c r="G113" s="109">
        <v>84.17</v>
      </c>
      <c r="H113" s="109">
        <v>84.17</v>
      </c>
      <c r="I113" s="495"/>
    </row>
    <row r="114" spans="1:10" s="160" customFormat="1" ht="34.5" customHeight="1">
      <c r="A114" s="158" t="s">
        <v>59</v>
      </c>
      <c r="B114" s="159">
        <v>934</v>
      </c>
      <c r="C114" s="159" t="s">
        <v>215</v>
      </c>
      <c r="D114" s="159" t="s">
        <v>241</v>
      </c>
      <c r="E114" s="159" t="s">
        <v>538</v>
      </c>
      <c r="F114" s="159"/>
      <c r="G114" s="122">
        <f>G115+G116+G117</f>
        <v>273.2</v>
      </c>
      <c r="H114" s="122">
        <f>H115+H116+H117</f>
        <v>273.2</v>
      </c>
      <c r="I114" s="578">
        <f>G114</f>
        <v>273.2</v>
      </c>
      <c r="J114" s="645">
        <f>H114</f>
        <v>273.2</v>
      </c>
    </row>
    <row r="115" spans="1:10">
      <c r="A115" s="76" t="s">
        <v>429</v>
      </c>
      <c r="B115" s="96">
        <v>934</v>
      </c>
      <c r="C115" s="96" t="s">
        <v>215</v>
      </c>
      <c r="D115" s="96" t="s">
        <v>241</v>
      </c>
      <c r="E115" s="150" t="s">
        <v>538</v>
      </c>
      <c r="F115" s="96" t="s">
        <v>412</v>
      </c>
      <c r="G115" s="109">
        <f>160.668+6.452+7.21966</f>
        <v>174.33966000000001</v>
      </c>
      <c r="H115" s="109">
        <f>160.668+6.452+7.21966</f>
        <v>174.33966000000001</v>
      </c>
      <c r="I115" s="495"/>
    </row>
    <row r="116" spans="1:10" ht="47.25">
      <c r="A116" s="196" t="s">
        <v>430</v>
      </c>
      <c r="B116" s="96">
        <v>934</v>
      </c>
      <c r="C116" s="96" t="s">
        <v>215</v>
      </c>
      <c r="D116" s="96" t="s">
        <v>241</v>
      </c>
      <c r="E116" s="150" t="s">
        <v>538</v>
      </c>
      <c r="F116" s="96" t="s">
        <v>431</v>
      </c>
      <c r="G116" s="109">
        <f>48.522+1.948+2.18034</f>
        <v>52.65034</v>
      </c>
      <c r="H116" s="109">
        <f>48.522+1.948+2.18034</f>
        <v>52.65034</v>
      </c>
      <c r="I116" s="495"/>
    </row>
    <row r="117" spans="1:10" ht="30" customHeight="1">
      <c r="A117" s="153" t="s">
        <v>275</v>
      </c>
      <c r="B117" s="96">
        <v>934</v>
      </c>
      <c r="C117" s="96" t="s">
        <v>215</v>
      </c>
      <c r="D117" s="96" t="s">
        <v>241</v>
      </c>
      <c r="E117" s="150" t="s">
        <v>538</v>
      </c>
      <c r="F117" s="96" t="s">
        <v>413</v>
      </c>
      <c r="G117" s="109">
        <v>46.21</v>
      </c>
      <c r="H117" s="109">
        <v>46.21</v>
      </c>
      <c r="I117" s="495"/>
    </row>
    <row r="118" spans="1:10" s="92" customFormat="1">
      <c r="A118" s="80" t="s">
        <v>234</v>
      </c>
      <c r="B118" s="102">
        <v>934</v>
      </c>
      <c r="C118" s="103" t="s">
        <v>218</v>
      </c>
      <c r="D118" s="103"/>
      <c r="E118" s="103"/>
      <c r="F118" s="103"/>
      <c r="G118" s="104">
        <f>G119</f>
        <v>200</v>
      </c>
      <c r="H118" s="104">
        <f>H119</f>
        <v>200</v>
      </c>
      <c r="I118" s="495"/>
    </row>
    <row r="119" spans="1:10" s="91" customFormat="1" ht="31.5">
      <c r="A119" s="79" t="s">
        <v>235</v>
      </c>
      <c r="B119" s="105">
        <v>934</v>
      </c>
      <c r="C119" s="106" t="s">
        <v>218</v>
      </c>
      <c r="D119" s="106" t="s">
        <v>219</v>
      </c>
      <c r="E119" s="103"/>
      <c r="F119" s="106"/>
      <c r="G119" s="107">
        <f>G120+G123</f>
        <v>200</v>
      </c>
      <c r="H119" s="107">
        <f>H120+H123</f>
        <v>200</v>
      </c>
      <c r="I119" s="495"/>
    </row>
    <row r="120" spans="1:10" s="91" customFormat="1" ht="31.5">
      <c r="A120" s="691" t="s">
        <v>899</v>
      </c>
      <c r="B120" s="183">
        <v>934</v>
      </c>
      <c r="C120" s="184" t="s">
        <v>218</v>
      </c>
      <c r="D120" s="184" t="s">
        <v>219</v>
      </c>
      <c r="E120" s="184" t="s">
        <v>540</v>
      </c>
      <c r="F120" s="184"/>
      <c r="G120" s="186">
        <f>G121</f>
        <v>150</v>
      </c>
      <c r="H120" s="186">
        <f>H121</f>
        <v>150</v>
      </c>
      <c r="I120" s="495"/>
    </row>
    <row r="121" spans="1:10" s="91" customFormat="1" ht="31.5">
      <c r="A121" s="223" t="s">
        <v>1010</v>
      </c>
      <c r="B121" s="345">
        <v>934</v>
      </c>
      <c r="C121" s="201" t="s">
        <v>218</v>
      </c>
      <c r="D121" s="201" t="s">
        <v>219</v>
      </c>
      <c r="E121" s="201" t="s">
        <v>540</v>
      </c>
      <c r="F121" s="349"/>
      <c r="G121" s="224">
        <f>G122</f>
        <v>150</v>
      </c>
      <c r="H121" s="224">
        <f>H122</f>
        <v>150</v>
      </c>
      <c r="I121" s="495"/>
    </row>
    <row r="122" spans="1:10" s="91" customFormat="1" ht="31.5">
      <c r="A122" s="153" t="s">
        <v>275</v>
      </c>
      <c r="B122" s="98">
        <v>934</v>
      </c>
      <c r="C122" s="95" t="s">
        <v>218</v>
      </c>
      <c r="D122" s="95" t="s">
        <v>219</v>
      </c>
      <c r="E122" s="150" t="s">
        <v>540</v>
      </c>
      <c r="F122" s="96" t="s">
        <v>413</v>
      </c>
      <c r="G122" s="109">
        <v>150</v>
      </c>
      <c r="H122" s="109">
        <v>150</v>
      </c>
      <c r="I122" s="495"/>
    </row>
    <row r="123" spans="1:10" ht="31.5">
      <c r="A123" s="432" t="s">
        <v>445</v>
      </c>
      <c r="B123" s="97">
        <v>934</v>
      </c>
      <c r="C123" s="95" t="s">
        <v>218</v>
      </c>
      <c r="D123" s="95" t="s">
        <v>219</v>
      </c>
      <c r="E123" s="95" t="s">
        <v>576</v>
      </c>
      <c r="F123" s="484"/>
      <c r="G123" s="485">
        <f>G124</f>
        <v>50</v>
      </c>
      <c r="H123" s="485">
        <f>H124</f>
        <v>50</v>
      </c>
      <c r="I123" s="495"/>
    </row>
    <row r="124" spans="1:10" ht="31.5">
      <c r="A124" s="153" t="s">
        <v>275</v>
      </c>
      <c r="B124" s="98">
        <v>934</v>
      </c>
      <c r="C124" s="95" t="s">
        <v>218</v>
      </c>
      <c r="D124" s="95" t="s">
        <v>219</v>
      </c>
      <c r="E124" s="96" t="s">
        <v>576</v>
      </c>
      <c r="F124" s="96" t="s">
        <v>413</v>
      </c>
      <c r="G124" s="109">
        <v>50</v>
      </c>
      <c r="H124" s="109">
        <v>50</v>
      </c>
      <c r="I124" s="495"/>
    </row>
    <row r="125" spans="1:10" s="92" customFormat="1">
      <c r="A125" s="339" t="s">
        <v>423</v>
      </c>
      <c r="B125" s="340">
        <v>934</v>
      </c>
      <c r="C125" s="341" t="s">
        <v>224</v>
      </c>
      <c r="D125" s="341"/>
      <c r="E125" s="341"/>
      <c r="F125" s="341"/>
      <c r="G125" s="123">
        <f>G126+G146+G142</f>
        <v>7491.5</v>
      </c>
      <c r="H125" s="123">
        <f>H126+H146</f>
        <v>2022.2219699999998</v>
      </c>
      <c r="I125" s="495"/>
    </row>
    <row r="126" spans="1:10" s="91" customFormat="1">
      <c r="A126" s="79" t="s">
        <v>232</v>
      </c>
      <c r="B126" s="106" t="s">
        <v>203</v>
      </c>
      <c r="C126" s="106" t="s">
        <v>224</v>
      </c>
      <c r="D126" s="106" t="s">
        <v>225</v>
      </c>
      <c r="E126" s="103"/>
      <c r="F126" s="106"/>
      <c r="G126" s="107">
        <f>G127</f>
        <v>2771.5999999999995</v>
      </c>
      <c r="H126" s="107">
        <f>H127</f>
        <v>2002.3219699999997</v>
      </c>
      <c r="I126" s="495"/>
    </row>
    <row r="127" spans="1:10" s="91" customFormat="1">
      <c r="A127" s="79" t="s">
        <v>118</v>
      </c>
      <c r="B127" s="106" t="s">
        <v>203</v>
      </c>
      <c r="C127" s="106" t="s">
        <v>224</v>
      </c>
      <c r="D127" s="106" t="s">
        <v>225</v>
      </c>
      <c r="E127" s="103" t="s">
        <v>3</v>
      </c>
      <c r="F127" s="106"/>
      <c r="G127" s="107">
        <f>G128+G139</f>
        <v>2771.5999999999995</v>
      </c>
      <c r="H127" s="107">
        <f>H128+H139</f>
        <v>2002.3219699999997</v>
      </c>
      <c r="I127" s="495"/>
    </row>
    <row r="128" spans="1:10" s="91" customFormat="1">
      <c r="A128" s="79" t="s">
        <v>7</v>
      </c>
      <c r="B128" s="106" t="s">
        <v>203</v>
      </c>
      <c r="C128" s="106" t="s">
        <v>224</v>
      </c>
      <c r="D128" s="106" t="s">
        <v>225</v>
      </c>
      <c r="E128" s="103" t="s">
        <v>537</v>
      </c>
      <c r="F128" s="106"/>
      <c r="G128" s="107">
        <f>G129+G131+G134+G136</f>
        <v>2021.5999999999997</v>
      </c>
      <c r="H128" s="107">
        <f>H129+H131+H134+H136</f>
        <v>2002.3219699999997</v>
      </c>
      <c r="I128" s="495"/>
    </row>
    <row r="129" spans="1:10" ht="31.5">
      <c r="A129" s="74" t="s">
        <v>578</v>
      </c>
      <c r="B129" s="97">
        <v>934</v>
      </c>
      <c r="C129" s="95" t="s">
        <v>224</v>
      </c>
      <c r="D129" s="95" t="s">
        <v>225</v>
      </c>
      <c r="E129" s="159" t="s">
        <v>543</v>
      </c>
      <c r="F129" s="111"/>
      <c r="G129" s="108">
        <f>G130</f>
        <v>1674.6</v>
      </c>
      <c r="H129" s="108">
        <f>H130</f>
        <v>1674.6</v>
      </c>
      <c r="I129" s="578"/>
      <c r="J129" s="85"/>
    </row>
    <row r="130" spans="1:10" ht="31.5">
      <c r="A130" s="153" t="s">
        <v>275</v>
      </c>
      <c r="B130" s="98">
        <v>934</v>
      </c>
      <c r="C130" s="96" t="s">
        <v>224</v>
      </c>
      <c r="D130" s="96" t="s">
        <v>225</v>
      </c>
      <c r="E130" s="150" t="s">
        <v>543</v>
      </c>
      <c r="F130" s="110">
        <v>244</v>
      </c>
      <c r="G130" s="109">
        <v>1674.6</v>
      </c>
      <c r="H130" s="109">
        <v>1674.6</v>
      </c>
      <c r="I130" s="495"/>
    </row>
    <row r="131" spans="1:10" ht="47.25">
      <c r="A131" s="74" t="s">
        <v>589</v>
      </c>
      <c r="B131" s="97">
        <v>934</v>
      </c>
      <c r="C131" s="95" t="s">
        <v>224</v>
      </c>
      <c r="D131" s="95" t="s">
        <v>225</v>
      </c>
      <c r="E131" s="159" t="s">
        <v>544</v>
      </c>
      <c r="F131" s="111"/>
      <c r="G131" s="108">
        <f>G132+G133</f>
        <v>25.1</v>
      </c>
      <c r="H131" s="108">
        <f>H132+H133</f>
        <v>5.8219700000000003</v>
      </c>
      <c r="I131" s="578"/>
      <c r="J131" s="85"/>
    </row>
    <row r="132" spans="1:10">
      <c r="A132" s="76" t="s">
        <v>429</v>
      </c>
      <c r="B132" s="96">
        <v>934</v>
      </c>
      <c r="C132" s="96" t="s">
        <v>224</v>
      </c>
      <c r="D132" s="96" t="s">
        <v>225</v>
      </c>
      <c r="E132" s="150" t="s">
        <v>544</v>
      </c>
      <c r="F132" s="96" t="s">
        <v>412</v>
      </c>
      <c r="G132" s="149">
        <v>19.278030000000001</v>
      </c>
      <c r="H132" s="149">
        <v>0</v>
      </c>
      <c r="I132" s="495"/>
    </row>
    <row r="133" spans="1:10" ht="47.25">
      <c r="A133" s="196" t="s">
        <v>430</v>
      </c>
      <c r="B133" s="96">
        <v>934</v>
      </c>
      <c r="C133" s="96" t="s">
        <v>224</v>
      </c>
      <c r="D133" s="96" t="s">
        <v>225</v>
      </c>
      <c r="E133" s="150" t="s">
        <v>544</v>
      </c>
      <c r="F133" s="96" t="s">
        <v>431</v>
      </c>
      <c r="G133" s="149">
        <v>5.8219700000000003</v>
      </c>
      <c r="H133" s="149">
        <v>5.8219700000000003</v>
      </c>
      <c r="I133" s="495"/>
    </row>
    <row r="134" spans="1:10" s="91" customFormat="1" ht="31.5">
      <c r="A134" s="77" t="s">
        <v>373</v>
      </c>
      <c r="B134" s="97">
        <v>934</v>
      </c>
      <c r="C134" s="95" t="s">
        <v>224</v>
      </c>
      <c r="D134" s="95" t="s">
        <v>225</v>
      </c>
      <c r="E134" s="95" t="s">
        <v>545</v>
      </c>
      <c r="F134" s="97"/>
      <c r="G134" s="108">
        <f>G135</f>
        <v>320.60000000000002</v>
      </c>
      <c r="H134" s="108">
        <f>H135</f>
        <v>320.60000000000002</v>
      </c>
      <c r="I134" s="578"/>
      <c r="J134" s="644"/>
    </row>
    <row r="135" spans="1:10" s="91" customFormat="1" ht="63">
      <c r="A135" s="76" t="s">
        <v>514</v>
      </c>
      <c r="B135" s="98">
        <v>934</v>
      </c>
      <c r="C135" s="96" t="s">
        <v>224</v>
      </c>
      <c r="D135" s="96" t="s">
        <v>225</v>
      </c>
      <c r="E135" s="96" t="s">
        <v>545</v>
      </c>
      <c r="F135" s="98">
        <v>812</v>
      </c>
      <c r="G135" s="109">
        <v>320.60000000000002</v>
      </c>
      <c r="H135" s="109">
        <v>320.60000000000002</v>
      </c>
      <c r="I135" s="495"/>
    </row>
    <row r="136" spans="1:10" s="91" customFormat="1" ht="47.25">
      <c r="A136" s="158" t="s">
        <v>591</v>
      </c>
      <c r="B136" s="191">
        <v>934</v>
      </c>
      <c r="C136" s="159" t="s">
        <v>224</v>
      </c>
      <c r="D136" s="159" t="s">
        <v>225</v>
      </c>
      <c r="E136" s="159" t="s">
        <v>546</v>
      </c>
      <c r="F136" s="191"/>
      <c r="G136" s="122">
        <f>G137+G138</f>
        <v>1.3</v>
      </c>
      <c r="H136" s="122">
        <f>H137+H138</f>
        <v>1.3</v>
      </c>
      <c r="I136" s="578"/>
      <c r="J136" s="644"/>
    </row>
    <row r="137" spans="1:10" s="91" customFormat="1">
      <c r="A137" s="170" t="s">
        <v>429</v>
      </c>
      <c r="B137" s="154">
        <v>934</v>
      </c>
      <c r="C137" s="150" t="s">
        <v>224</v>
      </c>
      <c r="D137" s="150" t="s">
        <v>225</v>
      </c>
      <c r="E137" s="150" t="s">
        <v>546</v>
      </c>
      <c r="F137" s="154">
        <v>121</v>
      </c>
      <c r="G137" s="149">
        <v>0.99846000000000001</v>
      </c>
      <c r="H137" s="149">
        <v>0.99846000000000001</v>
      </c>
      <c r="I137" s="495"/>
    </row>
    <row r="138" spans="1:10" s="91" customFormat="1" ht="47.25">
      <c r="A138" s="242" t="s">
        <v>430</v>
      </c>
      <c r="B138" s="154">
        <v>934</v>
      </c>
      <c r="C138" s="150" t="s">
        <v>224</v>
      </c>
      <c r="D138" s="150" t="s">
        <v>225</v>
      </c>
      <c r="E138" s="150" t="s">
        <v>546</v>
      </c>
      <c r="F138" s="154">
        <v>129</v>
      </c>
      <c r="G138" s="149">
        <v>0.30153999999999997</v>
      </c>
      <c r="H138" s="149">
        <v>0.30153999999999997</v>
      </c>
      <c r="I138" s="495"/>
    </row>
    <row r="139" spans="1:10" s="91" customFormat="1" ht="31.5">
      <c r="A139" s="188" t="s">
        <v>838</v>
      </c>
      <c r="B139" s="175">
        <v>934</v>
      </c>
      <c r="C139" s="176" t="s">
        <v>224</v>
      </c>
      <c r="D139" s="176" t="s">
        <v>225</v>
      </c>
      <c r="E139" s="176" t="s">
        <v>594</v>
      </c>
      <c r="F139" s="175"/>
      <c r="G139" s="178">
        <f t="shared" ref="G139" si="7">G140</f>
        <v>750</v>
      </c>
      <c r="H139" s="194">
        <f>H140</f>
        <v>0</v>
      </c>
      <c r="I139" s="495"/>
    </row>
    <row r="140" spans="1:10" s="91" customFormat="1" ht="31.5">
      <c r="A140" s="221" t="s">
        <v>1011</v>
      </c>
      <c r="B140" s="345">
        <v>934</v>
      </c>
      <c r="C140" s="201" t="s">
        <v>224</v>
      </c>
      <c r="D140" s="201" t="s">
        <v>225</v>
      </c>
      <c r="E140" s="201" t="s">
        <v>986</v>
      </c>
      <c r="F140" s="96"/>
      <c r="G140" s="109">
        <f>G141</f>
        <v>750</v>
      </c>
      <c r="H140" s="149">
        <f>H141</f>
        <v>0</v>
      </c>
      <c r="I140" s="495"/>
    </row>
    <row r="141" spans="1:10" s="91" customFormat="1" ht="47.25">
      <c r="A141" s="153" t="s">
        <v>569</v>
      </c>
      <c r="B141" s="98">
        <v>934</v>
      </c>
      <c r="C141" s="96" t="s">
        <v>224</v>
      </c>
      <c r="D141" s="96" t="s">
        <v>225</v>
      </c>
      <c r="E141" s="150" t="s">
        <v>542</v>
      </c>
      <c r="F141" s="96" t="s">
        <v>515</v>
      </c>
      <c r="G141" s="109">
        <v>750</v>
      </c>
      <c r="H141" s="149">
        <v>0</v>
      </c>
      <c r="I141" s="495"/>
    </row>
    <row r="142" spans="1:10" s="91" customFormat="1">
      <c r="A142" s="619" t="s">
        <v>272</v>
      </c>
      <c r="B142" s="102">
        <v>934</v>
      </c>
      <c r="C142" s="103" t="s">
        <v>224</v>
      </c>
      <c r="D142" s="103" t="s">
        <v>219</v>
      </c>
      <c r="E142" s="341"/>
      <c r="F142" s="103"/>
      <c r="G142" s="104">
        <f t="shared" ref="G142:H143" si="8">G143</f>
        <v>4700</v>
      </c>
      <c r="H142" s="104">
        <f t="shared" si="8"/>
        <v>0</v>
      </c>
      <c r="I142" s="495"/>
    </row>
    <row r="143" spans="1:10" s="91" customFormat="1" ht="33.75" customHeight="1">
      <c r="A143" s="670" t="s">
        <v>870</v>
      </c>
      <c r="B143" s="192">
        <v>934</v>
      </c>
      <c r="C143" s="185" t="s">
        <v>224</v>
      </c>
      <c r="D143" s="185" t="s">
        <v>219</v>
      </c>
      <c r="E143" s="687" t="s">
        <v>987</v>
      </c>
      <c r="F143" s="176"/>
      <c r="G143" s="194">
        <f t="shared" si="8"/>
        <v>4700</v>
      </c>
      <c r="H143" s="194">
        <f t="shared" si="8"/>
        <v>0</v>
      </c>
      <c r="I143" s="495"/>
    </row>
    <row r="144" spans="1:10" s="91" customFormat="1" ht="63">
      <c r="A144" s="207" t="s">
        <v>1013</v>
      </c>
      <c r="B144" s="346">
        <v>934</v>
      </c>
      <c r="C144" s="205" t="s">
        <v>224</v>
      </c>
      <c r="D144" s="205" t="s">
        <v>219</v>
      </c>
      <c r="E144" s="689" t="s">
        <v>987</v>
      </c>
      <c r="F144" s="96"/>
      <c r="G144" s="109">
        <f>G145</f>
        <v>4700</v>
      </c>
      <c r="H144" s="109">
        <f>H145</f>
        <v>0</v>
      </c>
      <c r="I144" s="495"/>
    </row>
    <row r="145" spans="1:10" s="91" customFormat="1" ht="31.5">
      <c r="A145" s="153" t="s">
        <v>275</v>
      </c>
      <c r="B145" s="98">
        <v>934</v>
      </c>
      <c r="C145" s="96" t="s">
        <v>224</v>
      </c>
      <c r="D145" s="96" t="s">
        <v>219</v>
      </c>
      <c r="E145" s="682" t="s">
        <v>873</v>
      </c>
      <c r="F145" s="96" t="s">
        <v>413</v>
      </c>
      <c r="G145" s="109">
        <v>4700</v>
      </c>
      <c r="H145" s="109">
        <v>0</v>
      </c>
      <c r="I145" s="495"/>
    </row>
    <row r="146" spans="1:10" s="91" customFormat="1">
      <c r="A146" s="79" t="s">
        <v>57</v>
      </c>
      <c r="B146" s="106">
        <v>934</v>
      </c>
      <c r="C146" s="106" t="s">
        <v>224</v>
      </c>
      <c r="D146" s="106" t="s">
        <v>222</v>
      </c>
      <c r="E146" s="103"/>
      <c r="F146" s="106"/>
      <c r="G146" s="107">
        <f>+G147+G151</f>
        <v>19.899999999999999</v>
      </c>
      <c r="H146" s="107">
        <f>+H147+H151</f>
        <v>19.899999999999999</v>
      </c>
      <c r="I146" s="495"/>
    </row>
    <row r="147" spans="1:10" s="157" customFormat="1" ht="63">
      <c r="A147" s="77" t="s">
        <v>414</v>
      </c>
      <c r="B147" s="95" t="s">
        <v>203</v>
      </c>
      <c r="C147" s="95" t="s">
        <v>224</v>
      </c>
      <c r="D147" s="95" t="s">
        <v>222</v>
      </c>
      <c r="E147" s="96" t="s">
        <v>549</v>
      </c>
      <c r="F147" s="95"/>
      <c r="G147" s="122">
        <f>G148+G149</f>
        <v>2.9</v>
      </c>
      <c r="H147" s="122">
        <f>H148+H149</f>
        <v>2.9</v>
      </c>
      <c r="I147" s="578">
        <f>G147</f>
        <v>2.9</v>
      </c>
      <c r="J147" s="643">
        <f>H147</f>
        <v>2.9</v>
      </c>
    </row>
    <row r="148" spans="1:10" s="91" customFormat="1">
      <c r="A148" s="76" t="s">
        <v>429</v>
      </c>
      <c r="B148" s="96" t="s">
        <v>203</v>
      </c>
      <c r="C148" s="96" t="s">
        <v>224</v>
      </c>
      <c r="D148" s="96" t="s">
        <v>222</v>
      </c>
      <c r="E148" s="96" t="s">
        <v>549</v>
      </c>
      <c r="F148" s="96" t="s">
        <v>412</v>
      </c>
      <c r="G148" s="109">
        <v>2.2273399999999999</v>
      </c>
      <c r="H148" s="109">
        <v>2.2273399999999999</v>
      </c>
      <c r="I148" s="495"/>
    </row>
    <row r="149" spans="1:10" s="91" customFormat="1" ht="29.25" customHeight="1">
      <c r="A149" s="196" t="s">
        <v>430</v>
      </c>
      <c r="B149" s="96" t="s">
        <v>203</v>
      </c>
      <c r="C149" s="96" t="s">
        <v>224</v>
      </c>
      <c r="D149" s="96" t="s">
        <v>222</v>
      </c>
      <c r="E149" s="96" t="s">
        <v>549</v>
      </c>
      <c r="F149" s="96" t="s">
        <v>431</v>
      </c>
      <c r="G149" s="109">
        <v>0.67266000000000004</v>
      </c>
      <c r="H149" s="109">
        <v>0.67266000000000004</v>
      </c>
      <c r="I149" s="495"/>
    </row>
    <row r="150" spans="1:10" s="91" customFormat="1" ht="51" customHeight="1">
      <c r="A150" s="426" t="s">
        <v>895</v>
      </c>
      <c r="B150" s="185" t="s">
        <v>203</v>
      </c>
      <c r="C150" s="185" t="s">
        <v>224</v>
      </c>
      <c r="D150" s="185" t="s">
        <v>222</v>
      </c>
      <c r="E150" s="185" t="s">
        <v>566</v>
      </c>
      <c r="F150" s="185"/>
      <c r="G150" s="194">
        <f>G151</f>
        <v>17</v>
      </c>
      <c r="H150" s="194">
        <f>H151</f>
        <v>17</v>
      </c>
      <c r="I150" s="495"/>
    </row>
    <row r="151" spans="1:10" s="91" customFormat="1" ht="31.5" customHeight="1">
      <c r="A151" s="426" t="s">
        <v>898</v>
      </c>
      <c r="B151" s="185" t="s">
        <v>203</v>
      </c>
      <c r="C151" s="185" t="s">
        <v>224</v>
      </c>
      <c r="D151" s="185" t="s">
        <v>222</v>
      </c>
      <c r="E151" s="185" t="s">
        <v>521</v>
      </c>
      <c r="F151" s="175"/>
      <c r="G151" s="178">
        <f t="shared" ref="G151:H151" si="9">G152</f>
        <v>17</v>
      </c>
      <c r="H151" s="178">
        <f t="shared" si="9"/>
        <v>17</v>
      </c>
      <c r="I151" s="495"/>
    </row>
    <row r="152" spans="1:10" s="91" customFormat="1">
      <c r="A152" s="209" t="s">
        <v>1014</v>
      </c>
      <c r="B152" s="205" t="s">
        <v>203</v>
      </c>
      <c r="C152" s="205" t="s">
        <v>224</v>
      </c>
      <c r="D152" s="205" t="s">
        <v>222</v>
      </c>
      <c r="E152" s="205" t="s">
        <v>521</v>
      </c>
      <c r="F152" s="97"/>
      <c r="G152" s="109">
        <f>G153</f>
        <v>17</v>
      </c>
      <c r="H152" s="109">
        <f>H153</f>
        <v>17</v>
      </c>
      <c r="I152" s="495"/>
    </row>
    <row r="153" spans="1:10" s="91" customFormat="1" ht="31.5" customHeight="1">
      <c r="A153" s="153" t="s">
        <v>275</v>
      </c>
      <c r="B153" s="96" t="s">
        <v>203</v>
      </c>
      <c r="C153" s="96" t="s">
        <v>224</v>
      </c>
      <c r="D153" s="96" t="s">
        <v>222</v>
      </c>
      <c r="E153" s="96" t="s">
        <v>522</v>
      </c>
      <c r="F153" s="98">
        <v>244</v>
      </c>
      <c r="G153" s="109">
        <v>17</v>
      </c>
      <c r="H153" s="109">
        <v>17</v>
      </c>
      <c r="I153" s="495"/>
    </row>
    <row r="154" spans="1:10" s="91" customFormat="1">
      <c r="A154" s="80" t="s">
        <v>191</v>
      </c>
      <c r="B154" s="103" t="s">
        <v>203</v>
      </c>
      <c r="C154" s="103" t="s">
        <v>221</v>
      </c>
      <c r="D154" s="103"/>
      <c r="E154" s="103"/>
      <c r="F154" s="103"/>
      <c r="G154" s="104">
        <f>G155</f>
        <v>100</v>
      </c>
      <c r="H154" s="104">
        <f>H155</f>
        <v>100</v>
      </c>
      <c r="I154" s="495"/>
    </row>
    <row r="155" spans="1:10" s="91" customFormat="1" ht="31.5">
      <c r="A155" s="79" t="s">
        <v>192</v>
      </c>
      <c r="B155" s="106" t="s">
        <v>203</v>
      </c>
      <c r="C155" s="106" t="s">
        <v>221</v>
      </c>
      <c r="D155" s="106" t="s">
        <v>216</v>
      </c>
      <c r="E155" s="103"/>
      <c r="F155" s="106"/>
      <c r="G155" s="107">
        <f t="shared" ref="G155:H156" si="10">G156</f>
        <v>100</v>
      </c>
      <c r="H155" s="107">
        <f t="shared" si="10"/>
        <v>100</v>
      </c>
      <c r="I155" s="495"/>
    </row>
    <row r="156" spans="1:10" s="91" customFormat="1">
      <c r="A156" s="77" t="s">
        <v>161</v>
      </c>
      <c r="B156" s="95" t="s">
        <v>203</v>
      </c>
      <c r="C156" s="95" t="s">
        <v>221</v>
      </c>
      <c r="D156" s="95" t="s">
        <v>216</v>
      </c>
      <c r="E156" s="96" t="s">
        <v>530</v>
      </c>
      <c r="F156" s="95"/>
      <c r="G156" s="108">
        <f t="shared" si="10"/>
        <v>100</v>
      </c>
      <c r="H156" s="108">
        <f t="shared" si="10"/>
        <v>100</v>
      </c>
      <c r="I156" s="495"/>
    </row>
    <row r="157" spans="1:10" s="91" customFormat="1" ht="31.5">
      <c r="A157" s="76" t="s">
        <v>393</v>
      </c>
      <c r="B157" s="96" t="s">
        <v>203</v>
      </c>
      <c r="C157" s="96" t="s">
        <v>221</v>
      </c>
      <c r="D157" s="96" t="s">
        <v>216</v>
      </c>
      <c r="E157" s="96" t="s">
        <v>5</v>
      </c>
      <c r="F157" s="96"/>
      <c r="G157" s="109">
        <f>G158</f>
        <v>100</v>
      </c>
      <c r="H157" s="109">
        <f>H158</f>
        <v>100</v>
      </c>
      <c r="I157" s="495"/>
    </row>
    <row r="158" spans="1:10" s="91" customFormat="1" ht="31.5">
      <c r="A158" s="153" t="s">
        <v>275</v>
      </c>
      <c r="B158" s="96" t="s">
        <v>203</v>
      </c>
      <c r="C158" s="96" t="s">
        <v>221</v>
      </c>
      <c r="D158" s="96" t="s">
        <v>216</v>
      </c>
      <c r="E158" s="96" t="s">
        <v>5</v>
      </c>
      <c r="F158" s="96" t="s">
        <v>413</v>
      </c>
      <c r="G158" s="109">
        <v>100</v>
      </c>
      <c r="H158" s="109">
        <v>100</v>
      </c>
      <c r="I158" s="495"/>
    </row>
    <row r="159" spans="1:10" s="92" customFormat="1">
      <c r="A159" s="80" t="s">
        <v>408</v>
      </c>
      <c r="B159" s="103">
        <v>934</v>
      </c>
      <c r="C159" s="103" t="s">
        <v>217</v>
      </c>
      <c r="D159" s="103"/>
      <c r="E159" s="114"/>
      <c r="F159" s="103"/>
      <c r="G159" s="104">
        <f>G160+G169</f>
        <v>12862.830000000002</v>
      </c>
      <c r="H159" s="104">
        <f>H160+H169</f>
        <v>12862.830000000002</v>
      </c>
      <c r="I159" s="495"/>
      <c r="J159" s="147"/>
    </row>
    <row r="160" spans="1:10" s="92" customFormat="1">
      <c r="A160" s="79" t="s">
        <v>477</v>
      </c>
      <c r="B160" s="106" t="s">
        <v>203</v>
      </c>
      <c r="C160" s="106" t="s">
        <v>217</v>
      </c>
      <c r="D160" s="106" t="s">
        <v>218</v>
      </c>
      <c r="E160" s="114"/>
      <c r="F160" s="106"/>
      <c r="G160" s="107">
        <f>G161</f>
        <v>12792.830000000002</v>
      </c>
      <c r="H160" s="107">
        <f>H161</f>
        <v>12792.830000000002</v>
      </c>
      <c r="I160" s="495"/>
    </row>
    <row r="161" spans="1:10" s="91" customFormat="1" ht="54.75" customHeight="1">
      <c r="A161" s="174" t="s">
        <v>894</v>
      </c>
      <c r="B161" s="176" t="s">
        <v>203</v>
      </c>
      <c r="C161" s="176" t="s">
        <v>217</v>
      </c>
      <c r="D161" s="176" t="s">
        <v>218</v>
      </c>
      <c r="E161" s="176" t="s">
        <v>579</v>
      </c>
      <c r="F161" s="176"/>
      <c r="G161" s="178">
        <f>G163+G165+G167</f>
        <v>12792.830000000002</v>
      </c>
      <c r="H161" s="178">
        <f>H163+H165+H167</f>
        <v>12792.830000000002</v>
      </c>
      <c r="I161" s="495"/>
    </row>
    <row r="162" spans="1:10" s="91" customFormat="1" ht="21" customHeight="1">
      <c r="A162" s="174" t="s">
        <v>1015</v>
      </c>
      <c r="B162" s="176" t="s">
        <v>203</v>
      </c>
      <c r="C162" s="176" t="s">
        <v>217</v>
      </c>
      <c r="D162" s="176" t="s">
        <v>218</v>
      </c>
      <c r="E162" s="176" t="s">
        <v>579</v>
      </c>
      <c r="F162" s="176"/>
      <c r="G162" s="178">
        <f>G164+G166+G168</f>
        <v>12792.830000000002</v>
      </c>
      <c r="H162" s="178">
        <f>H164+H166+H168</f>
        <v>12792.830000000002</v>
      </c>
      <c r="I162" s="495"/>
    </row>
    <row r="163" spans="1:10" s="92" customFormat="1" ht="91.5" customHeight="1">
      <c r="A163" s="77" t="s">
        <v>184</v>
      </c>
      <c r="B163" s="95" t="s">
        <v>203</v>
      </c>
      <c r="C163" s="95" t="s">
        <v>217</v>
      </c>
      <c r="D163" s="95" t="s">
        <v>218</v>
      </c>
      <c r="E163" s="96" t="s">
        <v>730</v>
      </c>
      <c r="F163" s="95"/>
      <c r="G163" s="122">
        <f>G164</f>
        <v>6425.6</v>
      </c>
      <c r="H163" s="122">
        <f>H164</f>
        <v>6425.6</v>
      </c>
      <c r="I163" s="578">
        <f>G163</f>
        <v>6425.6</v>
      </c>
      <c r="J163" s="214">
        <f>H163</f>
        <v>6425.6</v>
      </c>
    </row>
    <row r="164" spans="1:10" s="92" customFormat="1" ht="21.75" customHeight="1">
      <c r="A164" s="76" t="s">
        <v>350</v>
      </c>
      <c r="B164" s="96" t="s">
        <v>203</v>
      </c>
      <c r="C164" s="96" t="s">
        <v>217</v>
      </c>
      <c r="D164" s="96" t="s">
        <v>218</v>
      </c>
      <c r="E164" s="96" t="s">
        <v>730</v>
      </c>
      <c r="F164" s="96" t="s">
        <v>351</v>
      </c>
      <c r="G164" s="109">
        <v>6425.6</v>
      </c>
      <c r="H164" s="109">
        <v>6425.6</v>
      </c>
      <c r="I164" s="495"/>
    </row>
    <row r="165" spans="1:10" s="92" customFormat="1" ht="21.75" customHeight="1">
      <c r="A165" s="76" t="s">
        <v>729</v>
      </c>
      <c r="B165" s="95" t="s">
        <v>203</v>
      </c>
      <c r="C165" s="95" t="s">
        <v>217</v>
      </c>
      <c r="D165" s="95" t="s">
        <v>218</v>
      </c>
      <c r="E165" s="96" t="s">
        <v>730</v>
      </c>
      <c r="F165" s="95"/>
      <c r="G165" s="109">
        <f>G166</f>
        <v>2017.34</v>
      </c>
      <c r="H165" s="109">
        <f>H166</f>
        <v>2017.34</v>
      </c>
      <c r="I165" s="495"/>
    </row>
    <row r="166" spans="1:10" s="92" customFormat="1" ht="21.75" customHeight="1">
      <c r="A166" s="76" t="s">
        <v>350</v>
      </c>
      <c r="B166" s="96" t="s">
        <v>203</v>
      </c>
      <c r="C166" s="96" t="s">
        <v>217</v>
      </c>
      <c r="D166" s="96" t="s">
        <v>218</v>
      </c>
      <c r="E166" s="96" t="s">
        <v>730</v>
      </c>
      <c r="F166" s="96" t="s">
        <v>351</v>
      </c>
      <c r="G166" s="109">
        <v>2017.34</v>
      </c>
      <c r="H166" s="109">
        <v>2017.34</v>
      </c>
      <c r="I166" s="495"/>
    </row>
    <row r="167" spans="1:10" s="92" customFormat="1" ht="52.5" customHeight="1">
      <c r="A167" s="77" t="s">
        <v>388</v>
      </c>
      <c r="B167" s="95" t="s">
        <v>203</v>
      </c>
      <c r="C167" s="95" t="s">
        <v>217</v>
      </c>
      <c r="D167" s="95" t="s">
        <v>218</v>
      </c>
      <c r="E167" s="95" t="s">
        <v>553</v>
      </c>
      <c r="F167" s="95"/>
      <c r="G167" s="108">
        <f>G168</f>
        <v>4349.8900000000003</v>
      </c>
      <c r="H167" s="108">
        <f>H168</f>
        <v>4349.8900000000003</v>
      </c>
      <c r="I167" s="495"/>
    </row>
    <row r="168" spans="1:10" s="92" customFormat="1" ht="32.25" customHeight="1">
      <c r="A168" s="76" t="s">
        <v>349</v>
      </c>
      <c r="B168" s="96" t="s">
        <v>203</v>
      </c>
      <c r="C168" s="96" t="s">
        <v>217</v>
      </c>
      <c r="D168" s="96" t="s">
        <v>218</v>
      </c>
      <c r="E168" s="95" t="s">
        <v>553</v>
      </c>
      <c r="F168" s="96" t="s">
        <v>421</v>
      </c>
      <c r="G168" s="109">
        <v>4349.8900000000003</v>
      </c>
      <c r="H168" s="109">
        <v>4349.8900000000003</v>
      </c>
      <c r="I168" s="495"/>
    </row>
    <row r="169" spans="1:10" s="92" customFormat="1" ht="32.25" customHeight="1">
      <c r="A169" s="79" t="s">
        <v>401</v>
      </c>
      <c r="B169" s="105">
        <v>934</v>
      </c>
      <c r="C169" s="106" t="s">
        <v>217</v>
      </c>
      <c r="D169" s="106" t="s">
        <v>217</v>
      </c>
      <c r="E169" s="106"/>
      <c r="F169" s="106"/>
      <c r="G169" s="107">
        <f>G170</f>
        <v>70</v>
      </c>
      <c r="H169" s="107">
        <f>H170</f>
        <v>70</v>
      </c>
      <c r="I169" s="495"/>
    </row>
    <row r="170" spans="1:10" s="92" customFormat="1" ht="44.25" customHeight="1">
      <c r="A170" s="174" t="s">
        <v>891</v>
      </c>
      <c r="B170" s="175">
        <v>934</v>
      </c>
      <c r="C170" s="176" t="s">
        <v>217</v>
      </c>
      <c r="D170" s="176" t="s">
        <v>217</v>
      </c>
      <c r="E170" s="176" t="s">
        <v>621</v>
      </c>
      <c r="F170" s="176"/>
      <c r="G170" s="178">
        <f>G172</f>
        <v>70</v>
      </c>
      <c r="H170" s="178">
        <f>H172</f>
        <v>70</v>
      </c>
      <c r="I170" s="495"/>
    </row>
    <row r="171" spans="1:10" s="92" customFormat="1" ht="41.25" customHeight="1">
      <c r="A171" s="179" t="s">
        <v>893</v>
      </c>
      <c r="B171" s="181">
        <v>934</v>
      </c>
      <c r="C171" s="181" t="s">
        <v>217</v>
      </c>
      <c r="D171" s="181" t="s">
        <v>217</v>
      </c>
      <c r="E171" s="686" t="s">
        <v>554</v>
      </c>
      <c r="F171" s="181"/>
      <c r="G171" s="182">
        <f>G172</f>
        <v>70</v>
      </c>
      <c r="H171" s="182">
        <f t="shared" ref="H171" si="11">H172</f>
        <v>70</v>
      </c>
      <c r="I171" s="495"/>
    </row>
    <row r="172" spans="1:10" s="92" customFormat="1" ht="32.25" customHeight="1">
      <c r="A172" s="223" t="s">
        <v>1016</v>
      </c>
      <c r="B172" s="201">
        <v>934</v>
      </c>
      <c r="C172" s="201" t="s">
        <v>217</v>
      </c>
      <c r="D172" s="201" t="s">
        <v>217</v>
      </c>
      <c r="E172" s="689" t="s">
        <v>554</v>
      </c>
      <c r="F172" s="96"/>
      <c r="G172" s="109">
        <f>G173</f>
        <v>70</v>
      </c>
      <c r="H172" s="109">
        <f>H173</f>
        <v>70</v>
      </c>
      <c r="I172" s="495"/>
    </row>
    <row r="173" spans="1:10" s="92" customFormat="1" ht="32.25" customHeight="1">
      <c r="A173" s="153" t="s">
        <v>275</v>
      </c>
      <c r="B173" s="98">
        <v>934</v>
      </c>
      <c r="C173" s="96" t="s">
        <v>217</v>
      </c>
      <c r="D173" s="96" t="s">
        <v>217</v>
      </c>
      <c r="E173" s="482" t="s">
        <v>554</v>
      </c>
      <c r="F173" s="96" t="s">
        <v>413</v>
      </c>
      <c r="G173" s="109">
        <v>70</v>
      </c>
      <c r="H173" s="109">
        <v>70</v>
      </c>
      <c r="I173" s="495"/>
    </row>
    <row r="174" spans="1:10">
      <c r="A174" s="80" t="s">
        <v>352</v>
      </c>
      <c r="B174" s="103" t="s">
        <v>203</v>
      </c>
      <c r="C174" s="103" t="s">
        <v>226</v>
      </c>
      <c r="D174" s="103"/>
      <c r="E174" s="103"/>
      <c r="F174" s="103"/>
      <c r="G174" s="104">
        <f t="shared" ref="G174:H176" si="12">G175</f>
        <v>44234.285000000003</v>
      </c>
      <c r="H174" s="104">
        <f t="shared" si="12"/>
        <v>44234.285000000003</v>
      </c>
      <c r="I174" s="495"/>
    </row>
    <row r="175" spans="1:10">
      <c r="A175" s="79" t="s">
        <v>406</v>
      </c>
      <c r="B175" s="106" t="s">
        <v>203</v>
      </c>
      <c r="C175" s="106" t="s">
        <v>226</v>
      </c>
      <c r="D175" s="106" t="s">
        <v>215</v>
      </c>
      <c r="E175" s="103"/>
      <c r="F175" s="106"/>
      <c r="G175" s="107">
        <f t="shared" si="12"/>
        <v>44234.285000000003</v>
      </c>
      <c r="H175" s="107">
        <f t="shared" si="12"/>
        <v>44234.285000000003</v>
      </c>
      <c r="I175" s="495"/>
    </row>
    <row r="176" spans="1:10" s="92" customFormat="1" ht="31.5">
      <c r="A176" s="174" t="s">
        <v>778</v>
      </c>
      <c r="B176" s="175">
        <v>934</v>
      </c>
      <c r="C176" s="176" t="s">
        <v>226</v>
      </c>
      <c r="D176" s="176" t="s">
        <v>215</v>
      </c>
      <c r="E176" s="176" t="s">
        <v>579</v>
      </c>
      <c r="F176" s="176"/>
      <c r="G176" s="178">
        <f t="shared" si="12"/>
        <v>44234.285000000003</v>
      </c>
      <c r="H176" s="178">
        <f t="shared" si="12"/>
        <v>44234.285000000003</v>
      </c>
      <c r="I176" s="495"/>
    </row>
    <row r="177" spans="1:10" s="92" customFormat="1" ht="31.5">
      <c r="A177" s="174" t="s">
        <v>1053</v>
      </c>
      <c r="B177" s="175">
        <v>934</v>
      </c>
      <c r="C177" s="176" t="s">
        <v>226</v>
      </c>
      <c r="D177" s="176" t="s">
        <v>215</v>
      </c>
      <c r="E177" s="176" t="s">
        <v>579</v>
      </c>
      <c r="F177" s="176"/>
      <c r="G177" s="178">
        <f>G178+G180+G182+G184</f>
        <v>44234.285000000003</v>
      </c>
      <c r="H177" s="178">
        <f>H178+H180+H182+H184</f>
        <v>44234.285000000003</v>
      </c>
      <c r="I177" s="495"/>
    </row>
    <row r="178" spans="1:10" ht="47.25">
      <c r="A178" s="77" t="s">
        <v>143</v>
      </c>
      <c r="B178" s="95" t="s">
        <v>203</v>
      </c>
      <c r="C178" s="95" t="s">
        <v>226</v>
      </c>
      <c r="D178" s="95" t="s">
        <v>215</v>
      </c>
      <c r="E178" s="95" t="s">
        <v>558</v>
      </c>
      <c r="F178" s="95"/>
      <c r="G178" s="122">
        <f>G179</f>
        <v>9672.3629999999994</v>
      </c>
      <c r="H178" s="122">
        <f>H179</f>
        <v>9672.3629999999994</v>
      </c>
      <c r="I178" s="495"/>
    </row>
    <row r="179" spans="1:10" ht="47.25">
      <c r="A179" s="76" t="s">
        <v>270</v>
      </c>
      <c r="B179" s="96" t="s">
        <v>203</v>
      </c>
      <c r="C179" s="96" t="s">
        <v>226</v>
      </c>
      <c r="D179" s="96" t="s">
        <v>215</v>
      </c>
      <c r="E179" s="95" t="s">
        <v>558</v>
      </c>
      <c r="F179" s="96" t="s">
        <v>420</v>
      </c>
      <c r="G179" s="109">
        <v>9672.3629999999994</v>
      </c>
      <c r="H179" s="109">
        <v>9672.3629999999994</v>
      </c>
      <c r="I179" s="495"/>
    </row>
    <row r="180" spans="1:10" ht="31.5">
      <c r="A180" s="77" t="s">
        <v>103</v>
      </c>
      <c r="B180" s="95" t="s">
        <v>203</v>
      </c>
      <c r="C180" s="95" t="s">
        <v>226</v>
      </c>
      <c r="D180" s="95" t="s">
        <v>215</v>
      </c>
      <c r="E180" s="96" t="s">
        <v>559</v>
      </c>
      <c r="F180" s="95"/>
      <c r="G180" s="108">
        <f>G181</f>
        <v>2169.692</v>
      </c>
      <c r="H180" s="108">
        <f>H181</f>
        <v>2169.692</v>
      </c>
      <c r="I180" s="495"/>
    </row>
    <row r="181" spans="1:10" ht="47.25">
      <c r="A181" s="76" t="s">
        <v>270</v>
      </c>
      <c r="B181" s="96" t="s">
        <v>203</v>
      </c>
      <c r="C181" s="96" t="s">
        <v>226</v>
      </c>
      <c r="D181" s="96" t="s">
        <v>215</v>
      </c>
      <c r="E181" s="96" t="s">
        <v>559</v>
      </c>
      <c r="F181" s="96" t="s">
        <v>420</v>
      </c>
      <c r="G181" s="109">
        <f>2239.692-70</f>
        <v>2169.692</v>
      </c>
      <c r="H181" s="109">
        <f>2239.692-70</f>
        <v>2169.692</v>
      </c>
      <c r="I181" s="495"/>
    </row>
    <row r="182" spans="1:10" ht="31.5">
      <c r="A182" s="77" t="s">
        <v>587</v>
      </c>
      <c r="B182" s="97">
        <v>934</v>
      </c>
      <c r="C182" s="95" t="s">
        <v>226</v>
      </c>
      <c r="D182" s="95" t="s">
        <v>215</v>
      </c>
      <c r="E182" s="150" t="s">
        <v>815</v>
      </c>
      <c r="F182" s="95"/>
      <c r="G182" s="108">
        <f>G183</f>
        <v>19102.2</v>
      </c>
      <c r="H182" s="108">
        <f>H183</f>
        <v>19102.2</v>
      </c>
      <c r="I182" s="578">
        <f>G182</f>
        <v>19102.2</v>
      </c>
      <c r="J182" s="85">
        <f>H182</f>
        <v>19102.2</v>
      </c>
    </row>
    <row r="183" spans="1:10">
      <c r="A183" s="76" t="s">
        <v>271</v>
      </c>
      <c r="B183" s="98">
        <v>934</v>
      </c>
      <c r="C183" s="96" t="s">
        <v>226</v>
      </c>
      <c r="D183" s="96" t="s">
        <v>215</v>
      </c>
      <c r="E183" s="150" t="s">
        <v>815</v>
      </c>
      <c r="F183" s="96" t="s">
        <v>268</v>
      </c>
      <c r="G183" s="109">
        <v>19102.2</v>
      </c>
      <c r="H183" s="109">
        <v>19102.2</v>
      </c>
      <c r="I183" s="495"/>
    </row>
    <row r="184" spans="1:10" ht="31.5">
      <c r="A184" s="76" t="s">
        <v>728</v>
      </c>
      <c r="B184" s="98">
        <v>934</v>
      </c>
      <c r="C184" s="96" t="s">
        <v>226</v>
      </c>
      <c r="D184" s="96" t="s">
        <v>215</v>
      </c>
      <c r="E184" s="150" t="s">
        <v>815</v>
      </c>
      <c r="F184" s="96"/>
      <c r="G184" s="109">
        <f>G185</f>
        <v>13290.03</v>
      </c>
      <c r="H184" s="109">
        <f>H185</f>
        <v>13290.03</v>
      </c>
      <c r="I184" s="495"/>
    </row>
    <row r="185" spans="1:10">
      <c r="A185" s="76" t="s">
        <v>271</v>
      </c>
      <c r="B185" s="98">
        <v>934</v>
      </c>
      <c r="C185" s="96" t="s">
        <v>226</v>
      </c>
      <c r="D185" s="96" t="s">
        <v>215</v>
      </c>
      <c r="E185" s="150" t="s">
        <v>815</v>
      </c>
      <c r="F185" s="96" t="s">
        <v>268</v>
      </c>
      <c r="G185" s="109">
        <v>13290.03</v>
      </c>
      <c r="H185" s="109">
        <v>13290.03</v>
      </c>
      <c r="I185" s="495"/>
    </row>
    <row r="186" spans="1:10" s="90" customFormat="1">
      <c r="A186" s="80" t="s">
        <v>405</v>
      </c>
      <c r="B186" s="117" t="s">
        <v>203</v>
      </c>
      <c r="C186" s="117" t="s">
        <v>220</v>
      </c>
      <c r="D186" s="117"/>
      <c r="E186" s="117"/>
      <c r="F186" s="117"/>
      <c r="G186" s="104">
        <f>G187+G189+G208</f>
        <v>10825.967909999999</v>
      </c>
      <c r="H186" s="104">
        <f>H187+H189+H208</f>
        <v>10937.967909999999</v>
      </c>
      <c r="I186" s="495"/>
    </row>
    <row r="187" spans="1:10" s="92" customFormat="1">
      <c r="A187" s="79" t="s">
        <v>231</v>
      </c>
      <c r="B187" s="243" t="s">
        <v>203</v>
      </c>
      <c r="C187" s="243" t="s">
        <v>220</v>
      </c>
      <c r="D187" s="243" t="s">
        <v>215</v>
      </c>
      <c r="E187" s="117"/>
      <c r="F187" s="243"/>
      <c r="G187" s="107">
        <f>G188</f>
        <v>4610.5679099999998</v>
      </c>
      <c r="H187" s="107">
        <f>H188</f>
        <v>4610.5679099999998</v>
      </c>
      <c r="I187" s="495"/>
    </row>
    <row r="188" spans="1:10" ht="38.25" customHeight="1">
      <c r="A188" s="76" t="s">
        <v>447</v>
      </c>
      <c r="B188" s="96">
        <v>934</v>
      </c>
      <c r="C188" s="96" t="s">
        <v>220</v>
      </c>
      <c r="D188" s="96" t="s">
        <v>215</v>
      </c>
      <c r="E188" s="96" t="s">
        <v>560</v>
      </c>
      <c r="F188" s="96" t="s">
        <v>354</v>
      </c>
      <c r="G188" s="109">
        <v>4610.5679099999998</v>
      </c>
      <c r="H188" s="109">
        <v>4610.5679099999998</v>
      </c>
      <c r="I188" s="495"/>
    </row>
    <row r="189" spans="1:10" ht="24" customHeight="1">
      <c r="A189" s="79" t="s">
        <v>403</v>
      </c>
      <c r="B189" s="106">
        <v>934</v>
      </c>
      <c r="C189" s="106" t="s">
        <v>220</v>
      </c>
      <c r="D189" s="106" t="s">
        <v>218</v>
      </c>
      <c r="E189" s="639"/>
      <c r="F189" s="106"/>
      <c r="G189" s="107">
        <f>G190+G200+G197+G205</f>
        <v>3528</v>
      </c>
      <c r="H189" s="107">
        <f>H190+H200+H197+H205</f>
        <v>3640</v>
      </c>
      <c r="I189" s="495"/>
    </row>
    <row r="190" spans="1:10" ht="45" customHeight="1">
      <c r="A190" s="174" t="s">
        <v>891</v>
      </c>
      <c r="B190" s="175">
        <v>934</v>
      </c>
      <c r="C190" s="176" t="s">
        <v>220</v>
      </c>
      <c r="D190" s="176" t="s">
        <v>218</v>
      </c>
      <c r="E190" s="538" t="s">
        <v>618</v>
      </c>
      <c r="F190" s="176"/>
      <c r="G190" s="149">
        <f>G191</f>
        <v>2747.7</v>
      </c>
      <c r="H190" s="107">
        <f>H191</f>
        <v>2869.7</v>
      </c>
      <c r="I190" s="495"/>
    </row>
    <row r="191" spans="1:10" ht="48" customHeight="1">
      <c r="A191" s="179" t="s">
        <v>892</v>
      </c>
      <c r="B191" s="180">
        <v>934</v>
      </c>
      <c r="C191" s="181" t="s">
        <v>220</v>
      </c>
      <c r="D191" s="181" t="s">
        <v>218</v>
      </c>
      <c r="E191" s="187" t="s">
        <v>991</v>
      </c>
      <c r="F191" s="181"/>
      <c r="G191" s="182">
        <f>G192</f>
        <v>2747.7</v>
      </c>
      <c r="H191" s="182">
        <f>H192</f>
        <v>2869.7</v>
      </c>
      <c r="I191" s="495"/>
    </row>
    <row r="192" spans="1:10" ht="48" customHeight="1">
      <c r="A192" s="599" t="s">
        <v>990</v>
      </c>
      <c r="B192" s="345">
        <v>934</v>
      </c>
      <c r="C192" s="201" t="s">
        <v>220</v>
      </c>
      <c r="D192" s="201" t="s">
        <v>218</v>
      </c>
      <c r="E192" s="205" t="s">
        <v>991</v>
      </c>
      <c r="F192" s="201"/>
      <c r="G192" s="202">
        <f>G193+G195</f>
        <v>2747.7</v>
      </c>
      <c r="H192" s="202">
        <f>H193+H195</f>
        <v>2869.7</v>
      </c>
      <c r="I192" s="495"/>
    </row>
    <row r="193" spans="1:10" ht="45.75" customHeight="1">
      <c r="A193" s="223" t="s">
        <v>793</v>
      </c>
      <c r="B193" s="98">
        <v>934</v>
      </c>
      <c r="C193" s="150" t="s">
        <v>220</v>
      </c>
      <c r="D193" s="150" t="s">
        <v>218</v>
      </c>
      <c r="E193" s="150" t="s">
        <v>617</v>
      </c>
      <c r="F193" s="201"/>
      <c r="G193" s="109">
        <f>G194</f>
        <v>2247.6999999999998</v>
      </c>
      <c r="H193" s="109">
        <f>H194</f>
        <v>2369.6999999999998</v>
      </c>
      <c r="I193" s="495"/>
    </row>
    <row r="194" spans="1:10" ht="24" customHeight="1">
      <c r="A194" s="76" t="s">
        <v>344</v>
      </c>
      <c r="B194" s="98">
        <v>934</v>
      </c>
      <c r="C194" s="150" t="s">
        <v>220</v>
      </c>
      <c r="D194" s="150" t="s">
        <v>218</v>
      </c>
      <c r="E194" s="150" t="s">
        <v>617</v>
      </c>
      <c r="F194" s="96" t="s">
        <v>342</v>
      </c>
      <c r="G194" s="109">
        <f>2340.6-92.9</f>
        <v>2247.6999999999998</v>
      </c>
      <c r="H194" s="109">
        <v>2369.6999999999998</v>
      </c>
      <c r="I194" s="578" t="s">
        <v>861</v>
      </c>
      <c r="J194" s="85">
        <f>H194</f>
        <v>2369.6999999999998</v>
      </c>
    </row>
    <row r="195" spans="1:10" ht="57" customHeight="1">
      <c r="A195" s="223" t="s">
        <v>794</v>
      </c>
      <c r="B195" s="98">
        <v>934</v>
      </c>
      <c r="C195" s="159" t="s">
        <v>220</v>
      </c>
      <c r="D195" s="159" t="s">
        <v>218</v>
      </c>
      <c r="E195" s="150" t="s">
        <v>617</v>
      </c>
      <c r="F195" s="96"/>
      <c r="G195" s="200">
        <f>G196</f>
        <v>500</v>
      </c>
      <c r="H195" s="109">
        <f>H196</f>
        <v>500</v>
      </c>
      <c r="I195" s="578"/>
      <c r="J195" s="85"/>
    </row>
    <row r="196" spans="1:10" ht="32.25" customHeight="1">
      <c r="A196" s="76" t="s">
        <v>344</v>
      </c>
      <c r="B196" s="98">
        <v>934</v>
      </c>
      <c r="C196" s="159" t="s">
        <v>220</v>
      </c>
      <c r="D196" s="159" t="s">
        <v>218</v>
      </c>
      <c r="E196" s="150" t="s">
        <v>617</v>
      </c>
      <c r="F196" s="96" t="s">
        <v>342</v>
      </c>
      <c r="G196" s="109">
        <v>500</v>
      </c>
      <c r="H196" s="109">
        <v>500</v>
      </c>
      <c r="I196" s="578"/>
      <c r="J196" s="85"/>
    </row>
    <row r="197" spans="1:10" ht="32.25" customHeight="1">
      <c r="A197" s="188" t="s">
        <v>882</v>
      </c>
      <c r="B197" s="176" t="s">
        <v>203</v>
      </c>
      <c r="C197" s="176" t="s">
        <v>220</v>
      </c>
      <c r="D197" s="176" t="s">
        <v>218</v>
      </c>
      <c r="E197" s="185" t="s">
        <v>994</v>
      </c>
      <c r="F197" s="175"/>
      <c r="G197" s="178">
        <f>G198</f>
        <v>10</v>
      </c>
      <c r="H197" s="109">
        <f>H198</f>
        <v>0</v>
      </c>
      <c r="I197" s="578"/>
      <c r="J197" s="85"/>
    </row>
    <row r="198" spans="1:10" ht="32.25" customHeight="1">
      <c r="A198" s="221" t="s">
        <v>1018</v>
      </c>
      <c r="B198" s="201" t="s">
        <v>203</v>
      </c>
      <c r="C198" s="201" t="s">
        <v>220</v>
      </c>
      <c r="D198" s="201" t="s">
        <v>218</v>
      </c>
      <c r="E198" s="205" t="s">
        <v>995</v>
      </c>
      <c r="F198" s="345"/>
      <c r="G198" s="202">
        <f>G199</f>
        <v>10</v>
      </c>
      <c r="H198" s="109">
        <f>H199</f>
        <v>0</v>
      </c>
      <c r="I198" s="578"/>
      <c r="J198" s="85"/>
    </row>
    <row r="199" spans="1:10" ht="32.25" customHeight="1">
      <c r="A199" s="209" t="s">
        <v>275</v>
      </c>
      <c r="B199" s="205" t="s">
        <v>203</v>
      </c>
      <c r="C199" s="118" t="s">
        <v>220</v>
      </c>
      <c r="D199" s="118" t="s">
        <v>218</v>
      </c>
      <c r="E199" s="205" t="s">
        <v>996</v>
      </c>
      <c r="F199" s="346">
        <v>244</v>
      </c>
      <c r="G199" s="200">
        <v>10</v>
      </c>
      <c r="H199" s="109">
        <v>0</v>
      </c>
      <c r="I199" s="578"/>
      <c r="J199" s="85"/>
    </row>
    <row r="200" spans="1:10" ht="31.5">
      <c r="A200" s="174" t="s">
        <v>927</v>
      </c>
      <c r="B200" s="175">
        <v>934</v>
      </c>
      <c r="C200" s="176" t="s">
        <v>220</v>
      </c>
      <c r="D200" s="176" t="s">
        <v>218</v>
      </c>
      <c r="E200" s="176" t="s">
        <v>579</v>
      </c>
      <c r="F200" s="176"/>
      <c r="G200" s="178">
        <f>G202</f>
        <v>587</v>
      </c>
      <c r="H200" s="178">
        <f>H202</f>
        <v>587</v>
      </c>
      <c r="I200" s="495"/>
    </row>
    <row r="201" spans="1:10">
      <c r="A201" s="174" t="s">
        <v>1015</v>
      </c>
      <c r="B201" s="175">
        <v>934</v>
      </c>
      <c r="C201" s="176" t="s">
        <v>220</v>
      </c>
      <c r="D201" s="176" t="s">
        <v>218</v>
      </c>
      <c r="E201" s="176" t="s">
        <v>579</v>
      </c>
      <c r="F201" s="176"/>
      <c r="G201" s="178">
        <f>G202</f>
        <v>587</v>
      </c>
      <c r="H201" s="178">
        <f>H202</f>
        <v>587</v>
      </c>
      <c r="I201" s="495"/>
    </row>
    <row r="202" spans="1:10" ht="90" customHeight="1">
      <c r="A202" s="316" t="s">
        <v>809</v>
      </c>
      <c r="B202" s="95">
        <v>934</v>
      </c>
      <c r="C202" s="116" t="s">
        <v>220</v>
      </c>
      <c r="D202" s="116" t="s">
        <v>218</v>
      </c>
      <c r="E202" s="96" t="s">
        <v>433</v>
      </c>
      <c r="F202" s="116"/>
      <c r="G202" s="108">
        <f>G203+G204</f>
        <v>587</v>
      </c>
      <c r="H202" s="108">
        <f>H203+H204</f>
        <v>587</v>
      </c>
      <c r="I202" s="578">
        <f>G202</f>
        <v>587</v>
      </c>
      <c r="J202" s="85">
        <f>H202</f>
        <v>587</v>
      </c>
    </row>
    <row r="203" spans="1:10">
      <c r="A203" s="76" t="s">
        <v>271</v>
      </c>
      <c r="B203" s="96">
        <v>934</v>
      </c>
      <c r="C203" s="118" t="s">
        <v>220</v>
      </c>
      <c r="D203" s="118" t="s">
        <v>218</v>
      </c>
      <c r="E203" s="96" t="s">
        <v>433</v>
      </c>
      <c r="F203" s="118" t="s">
        <v>268</v>
      </c>
      <c r="G203" s="109">
        <v>384</v>
      </c>
      <c r="H203" s="109">
        <v>384</v>
      </c>
      <c r="I203" s="495"/>
    </row>
    <row r="204" spans="1:10">
      <c r="A204" s="76" t="s">
        <v>350</v>
      </c>
      <c r="B204" s="96">
        <v>934</v>
      </c>
      <c r="C204" s="118" t="s">
        <v>220</v>
      </c>
      <c r="D204" s="118" t="s">
        <v>218</v>
      </c>
      <c r="E204" s="96" t="s">
        <v>433</v>
      </c>
      <c r="F204" s="118" t="s">
        <v>351</v>
      </c>
      <c r="G204" s="109">
        <v>203</v>
      </c>
      <c r="H204" s="109">
        <v>203</v>
      </c>
      <c r="I204" s="495"/>
    </row>
    <row r="205" spans="1:10" ht="44.25" customHeight="1">
      <c r="A205" s="76" t="s">
        <v>900</v>
      </c>
      <c r="B205" s="96">
        <v>934</v>
      </c>
      <c r="C205" s="118" t="s">
        <v>220</v>
      </c>
      <c r="D205" s="118" t="s">
        <v>218</v>
      </c>
      <c r="E205" s="96" t="s">
        <v>1216</v>
      </c>
      <c r="F205" s="118"/>
      <c r="G205" s="109">
        <f>G206</f>
        <v>183.3</v>
      </c>
      <c r="H205" s="109">
        <f>H206</f>
        <v>183.3</v>
      </c>
      <c r="I205" s="495"/>
    </row>
    <row r="206" spans="1:10" ht="204.75">
      <c r="A206" s="316" t="s">
        <v>809</v>
      </c>
      <c r="B206" s="96">
        <v>934</v>
      </c>
      <c r="C206" s="118" t="s">
        <v>220</v>
      </c>
      <c r="D206" s="118" t="s">
        <v>218</v>
      </c>
      <c r="E206" s="96" t="s">
        <v>1216</v>
      </c>
      <c r="F206" s="118"/>
      <c r="G206" s="109">
        <f>G207</f>
        <v>183.3</v>
      </c>
      <c r="H206" s="109">
        <f>H207</f>
        <v>183.3</v>
      </c>
      <c r="I206" s="495"/>
    </row>
    <row r="207" spans="1:10">
      <c r="A207" s="76" t="s">
        <v>350</v>
      </c>
      <c r="B207" s="96">
        <v>934</v>
      </c>
      <c r="C207" s="118" t="s">
        <v>220</v>
      </c>
      <c r="D207" s="118" t="s">
        <v>218</v>
      </c>
      <c r="E207" s="96" t="s">
        <v>1216</v>
      </c>
      <c r="F207" s="118" t="s">
        <v>351</v>
      </c>
      <c r="G207" s="109">
        <v>183.3</v>
      </c>
      <c r="H207" s="109">
        <v>183.3</v>
      </c>
      <c r="I207" s="495"/>
    </row>
    <row r="208" spans="1:10" s="92" customFormat="1">
      <c r="A208" s="79" t="s">
        <v>404</v>
      </c>
      <c r="B208" s="106">
        <v>934</v>
      </c>
      <c r="C208" s="106" t="s">
        <v>220</v>
      </c>
      <c r="D208" s="106" t="s">
        <v>221</v>
      </c>
      <c r="E208" s="103"/>
      <c r="F208" s="106"/>
      <c r="G208" s="107">
        <f>G213+G209</f>
        <v>2687.3999999999996</v>
      </c>
      <c r="H208" s="107">
        <f>H213+H209</f>
        <v>2687.3999999999996</v>
      </c>
      <c r="I208" s="495"/>
    </row>
    <row r="209" spans="1:10" s="161" customFormat="1" ht="47.25">
      <c r="A209" s="158" t="s">
        <v>186</v>
      </c>
      <c r="B209" s="150">
        <v>934</v>
      </c>
      <c r="C209" s="159" t="s">
        <v>220</v>
      </c>
      <c r="D209" s="159" t="s">
        <v>221</v>
      </c>
      <c r="E209" s="150" t="s">
        <v>561</v>
      </c>
      <c r="F209" s="159"/>
      <c r="G209" s="122">
        <f>G210+G211+G212</f>
        <v>1343.7</v>
      </c>
      <c r="H209" s="122">
        <f>H210+H211+H212</f>
        <v>1343.7</v>
      </c>
      <c r="I209" s="578">
        <f>G209</f>
        <v>1343.7</v>
      </c>
      <c r="J209" s="646">
        <f>H209</f>
        <v>1343.7</v>
      </c>
    </row>
    <row r="210" spans="1:10" s="92" customFormat="1">
      <c r="A210" s="76" t="s">
        <v>429</v>
      </c>
      <c r="B210" s="96">
        <v>934</v>
      </c>
      <c r="C210" s="96" t="s">
        <v>220</v>
      </c>
      <c r="D210" s="96" t="s">
        <v>221</v>
      </c>
      <c r="E210" s="150" t="s">
        <v>561</v>
      </c>
      <c r="F210" s="96" t="s">
        <v>412</v>
      </c>
      <c r="G210" s="109">
        <f>550.99267+22.043+368.51</f>
        <v>941.54566999999997</v>
      </c>
      <c r="H210" s="109">
        <f>550.99267+22.043+368.51</f>
        <v>941.54566999999997</v>
      </c>
      <c r="I210" s="495"/>
    </row>
    <row r="211" spans="1:10" s="92" customFormat="1" ht="47.25">
      <c r="A211" s="196" t="s">
        <v>430</v>
      </c>
      <c r="B211" s="96">
        <v>934</v>
      </c>
      <c r="C211" s="96" t="s">
        <v>220</v>
      </c>
      <c r="D211" s="96" t="s">
        <v>221</v>
      </c>
      <c r="E211" s="150" t="s">
        <v>561</v>
      </c>
      <c r="F211" s="96" t="s">
        <v>431</v>
      </c>
      <c r="G211" s="109">
        <f>166.40133+6.657+111.29</f>
        <v>284.34833000000003</v>
      </c>
      <c r="H211" s="109">
        <f>166.40133+6.657+111.29</f>
        <v>284.34833000000003</v>
      </c>
      <c r="I211" s="495"/>
    </row>
    <row r="212" spans="1:10" s="92" customFormat="1" ht="31.5">
      <c r="A212" s="153" t="s">
        <v>275</v>
      </c>
      <c r="B212" s="96">
        <v>934</v>
      </c>
      <c r="C212" s="96" t="s">
        <v>220</v>
      </c>
      <c r="D212" s="96" t="s">
        <v>221</v>
      </c>
      <c r="E212" s="150" t="s">
        <v>561</v>
      </c>
      <c r="F212" s="96" t="s">
        <v>413</v>
      </c>
      <c r="G212" s="109">
        <v>117.806</v>
      </c>
      <c r="H212" s="109">
        <v>117.806</v>
      </c>
      <c r="I212" s="495"/>
    </row>
    <row r="213" spans="1:10" ht="47.25">
      <c r="A213" s="77" t="s">
        <v>185</v>
      </c>
      <c r="B213" s="96">
        <v>934</v>
      </c>
      <c r="C213" s="95" t="s">
        <v>220</v>
      </c>
      <c r="D213" s="95" t="s">
        <v>221</v>
      </c>
      <c r="E213" s="96" t="s">
        <v>562</v>
      </c>
      <c r="F213" s="95"/>
      <c r="G213" s="108">
        <f>G214+G215+G216+G217</f>
        <v>1343.6999999999998</v>
      </c>
      <c r="H213" s="108">
        <f>H214+H215+H216+H217</f>
        <v>1343.6999999999998</v>
      </c>
      <c r="I213" s="578">
        <f>G213</f>
        <v>1343.6999999999998</v>
      </c>
      <c r="J213" s="85">
        <f>H213</f>
        <v>1343.6999999999998</v>
      </c>
    </row>
    <row r="214" spans="1:10" s="90" customFormat="1">
      <c r="A214" s="76" t="s">
        <v>429</v>
      </c>
      <c r="B214" s="96">
        <v>934</v>
      </c>
      <c r="C214" s="96" t="s">
        <v>220</v>
      </c>
      <c r="D214" s="96" t="s">
        <v>221</v>
      </c>
      <c r="E214" s="96" t="s">
        <v>562</v>
      </c>
      <c r="F214" s="96" t="s">
        <v>412</v>
      </c>
      <c r="G214" s="109">
        <f>859.6005+37.02</f>
        <v>896.62049999999999</v>
      </c>
      <c r="H214" s="109">
        <f>859.6005+37.02</f>
        <v>896.62049999999999</v>
      </c>
      <c r="I214" s="495"/>
    </row>
    <row r="215" spans="1:10" ht="31.5">
      <c r="A215" s="76" t="s">
        <v>15</v>
      </c>
      <c r="B215" s="96">
        <v>934</v>
      </c>
      <c r="C215" s="96" t="s">
        <v>220</v>
      </c>
      <c r="D215" s="96" t="s">
        <v>221</v>
      </c>
      <c r="E215" s="96" t="s">
        <v>562</v>
      </c>
      <c r="F215" s="96" t="s">
        <v>417</v>
      </c>
      <c r="G215" s="109">
        <v>24.2</v>
      </c>
      <c r="H215" s="109">
        <v>24.2</v>
      </c>
      <c r="I215" s="495"/>
    </row>
    <row r="216" spans="1:10" ht="47.25">
      <c r="A216" s="196" t="s">
        <v>430</v>
      </c>
      <c r="B216" s="96">
        <v>934</v>
      </c>
      <c r="C216" s="96" t="s">
        <v>220</v>
      </c>
      <c r="D216" s="96" t="s">
        <v>221</v>
      </c>
      <c r="E216" s="96" t="s">
        <v>562</v>
      </c>
      <c r="F216" s="96" t="s">
        <v>431</v>
      </c>
      <c r="G216" s="109">
        <f>259.5995+11.18</f>
        <v>270.77949999999998</v>
      </c>
      <c r="H216" s="109">
        <f>259.5995+11.18</f>
        <v>270.77949999999998</v>
      </c>
      <c r="I216" s="495"/>
    </row>
    <row r="217" spans="1:10" ht="31.5">
      <c r="A217" s="153" t="s">
        <v>275</v>
      </c>
      <c r="B217" s="96">
        <v>934</v>
      </c>
      <c r="C217" s="96" t="s">
        <v>220</v>
      </c>
      <c r="D217" s="96" t="s">
        <v>221</v>
      </c>
      <c r="E217" s="96" t="s">
        <v>562</v>
      </c>
      <c r="F217" s="96" t="s">
        <v>413</v>
      </c>
      <c r="G217" s="109">
        <v>152.1</v>
      </c>
      <c r="H217" s="109">
        <v>152.1</v>
      </c>
      <c r="I217" s="495"/>
    </row>
    <row r="218" spans="1:10">
      <c r="A218" s="80" t="s">
        <v>402</v>
      </c>
      <c r="B218" s="103">
        <v>934</v>
      </c>
      <c r="C218" s="103" t="s">
        <v>223</v>
      </c>
      <c r="D218" s="103"/>
      <c r="E218" s="103"/>
      <c r="F218" s="103"/>
      <c r="G218" s="104">
        <f>G219+G224+G231</f>
        <v>17663.009859999998</v>
      </c>
      <c r="H218" s="104">
        <f>H219+H224+H231</f>
        <v>17663.009859999998</v>
      </c>
      <c r="I218" s="495"/>
    </row>
    <row r="219" spans="1:10">
      <c r="A219" s="79" t="s">
        <v>345</v>
      </c>
      <c r="B219" s="103">
        <v>934</v>
      </c>
      <c r="C219" s="106" t="s">
        <v>223</v>
      </c>
      <c r="D219" s="106" t="s">
        <v>215</v>
      </c>
      <c r="E219" s="103"/>
      <c r="F219" s="106"/>
      <c r="G219" s="107">
        <f>G220</f>
        <v>300</v>
      </c>
      <c r="H219" s="107">
        <f>H220</f>
        <v>300</v>
      </c>
      <c r="I219" s="495"/>
    </row>
    <row r="220" spans="1:10" ht="31.5">
      <c r="A220" s="174" t="s">
        <v>900</v>
      </c>
      <c r="B220" s="185" t="s">
        <v>203</v>
      </c>
      <c r="C220" s="176" t="s">
        <v>223</v>
      </c>
      <c r="D220" s="176" t="s">
        <v>215</v>
      </c>
      <c r="E220" s="176" t="s">
        <v>621</v>
      </c>
      <c r="F220" s="176"/>
      <c r="G220" s="178">
        <f>G221</f>
        <v>300</v>
      </c>
      <c r="H220" s="178">
        <f>H221</f>
        <v>300</v>
      </c>
      <c r="I220" s="495"/>
    </row>
    <row r="221" spans="1:10" ht="31.5">
      <c r="A221" s="174" t="s">
        <v>1019</v>
      </c>
      <c r="B221" s="185" t="s">
        <v>203</v>
      </c>
      <c r="C221" s="176" t="s">
        <v>223</v>
      </c>
      <c r="D221" s="176" t="s">
        <v>215</v>
      </c>
      <c r="E221" s="176" t="s">
        <v>621</v>
      </c>
      <c r="F221" s="176"/>
      <c r="G221" s="178">
        <f>G222+G223</f>
        <v>300</v>
      </c>
      <c r="H221" s="178">
        <f>H222+H223</f>
        <v>300</v>
      </c>
      <c r="I221" s="495"/>
    </row>
    <row r="222" spans="1:10" ht="31.5">
      <c r="A222" s="153" t="s">
        <v>275</v>
      </c>
      <c r="B222" s="96">
        <v>934</v>
      </c>
      <c r="C222" s="96" t="s">
        <v>223</v>
      </c>
      <c r="D222" s="96" t="s">
        <v>215</v>
      </c>
      <c r="E222" s="150" t="s">
        <v>563</v>
      </c>
      <c r="F222" s="96" t="s">
        <v>413</v>
      </c>
      <c r="G222" s="109">
        <v>150</v>
      </c>
      <c r="H222" s="109">
        <v>150</v>
      </c>
      <c r="I222" s="495"/>
    </row>
    <row r="223" spans="1:10">
      <c r="A223" s="617" t="s">
        <v>736</v>
      </c>
      <c r="B223" s="96">
        <v>934</v>
      </c>
      <c r="C223" s="96" t="s">
        <v>223</v>
      </c>
      <c r="D223" s="96" t="s">
        <v>215</v>
      </c>
      <c r="E223" s="150" t="s">
        <v>563</v>
      </c>
      <c r="F223" s="96" t="s">
        <v>735</v>
      </c>
      <c r="G223" s="109">
        <v>150</v>
      </c>
      <c r="H223" s="109">
        <v>150</v>
      </c>
      <c r="I223" s="495"/>
    </row>
    <row r="224" spans="1:10">
      <c r="A224" s="79" t="s">
        <v>261</v>
      </c>
      <c r="B224" s="103">
        <v>934</v>
      </c>
      <c r="C224" s="106" t="s">
        <v>223</v>
      </c>
      <c r="D224" s="106" t="s">
        <v>216</v>
      </c>
      <c r="E224" s="103"/>
      <c r="F224" s="106"/>
      <c r="G224" s="107">
        <f>G225+G228</f>
        <v>1559.92</v>
      </c>
      <c r="H224" s="107">
        <f>H225+H228</f>
        <v>1559.92</v>
      </c>
      <c r="I224" s="495"/>
    </row>
    <row r="225" spans="1:10">
      <c r="A225" s="77" t="s">
        <v>106</v>
      </c>
      <c r="B225" s="95">
        <v>934</v>
      </c>
      <c r="C225" s="95" t="s">
        <v>223</v>
      </c>
      <c r="D225" s="95" t="s">
        <v>216</v>
      </c>
      <c r="E225" s="96" t="s">
        <v>564</v>
      </c>
      <c r="F225" s="95"/>
      <c r="G225" s="109">
        <f>G226+G227</f>
        <v>631.1</v>
      </c>
      <c r="H225" s="109">
        <f>H226+H227</f>
        <v>631.1</v>
      </c>
      <c r="I225" s="578">
        <f>G225</f>
        <v>631.1</v>
      </c>
      <c r="J225" s="85">
        <f>H225</f>
        <v>631.1</v>
      </c>
    </row>
    <row r="226" spans="1:10">
      <c r="A226" s="76" t="s">
        <v>650</v>
      </c>
      <c r="B226" s="96" t="s">
        <v>203</v>
      </c>
      <c r="C226" s="96" t="s">
        <v>223</v>
      </c>
      <c r="D226" s="96" t="s">
        <v>216</v>
      </c>
      <c r="E226" s="96" t="s">
        <v>564</v>
      </c>
      <c r="F226" s="96" t="s">
        <v>438</v>
      </c>
      <c r="G226" s="109">
        <v>484.71582000000001</v>
      </c>
      <c r="H226" s="109">
        <v>484.71582000000001</v>
      </c>
      <c r="I226" s="495"/>
    </row>
    <row r="227" spans="1:10" ht="31.5">
      <c r="A227" s="196" t="s">
        <v>651</v>
      </c>
      <c r="B227" s="96" t="s">
        <v>203</v>
      </c>
      <c r="C227" s="96" t="s">
        <v>223</v>
      </c>
      <c r="D227" s="96" t="s">
        <v>216</v>
      </c>
      <c r="E227" s="96" t="s">
        <v>564</v>
      </c>
      <c r="F227" s="96" t="s">
        <v>440</v>
      </c>
      <c r="G227" s="109">
        <v>146.38417999999999</v>
      </c>
      <c r="H227" s="109">
        <v>146.38417999999999</v>
      </c>
      <c r="I227" s="495"/>
    </row>
    <row r="228" spans="1:10" ht="31.5">
      <c r="A228" s="77" t="s">
        <v>390</v>
      </c>
      <c r="B228" s="96">
        <v>934</v>
      </c>
      <c r="C228" s="95" t="s">
        <v>223</v>
      </c>
      <c r="D228" s="95" t="s">
        <v>216</v>
      </c>
      <c r="E228" s="96"/>
      <c r="F228" s="95"/>
      <c r="G228" s="108">
        <f>G229+G230</f>
        <v>928.81999999999994</v>
      </c>
      <c r="H228" s="108">
        <f>H229+H230</f>
        <v>928.81999999999994</v>
      </c>
      <c r="I228" s="495"/>
    </row>
    <row r="229" spans="1:10">
      <c r="A229" s="76" t="s">
        <v>650</v>
      </c>
      <c r="B229" s="96">
        <v>934</v>
      </c>
      <c r="C229" s="96" t="s">
        <v>223</v>
      </c>
      <c r="D229" s="96" t="s">
        <v>216</v>
      </c>
      <c r="E229" s="96" t="s">
        <v>564</v>
      </c>
      <c r="F229" s="96" t="s">
        <v>438</v>
      </c>
      <c r="G229" s="109">
        <v>713.37941999999998</v>
      </c>
      <c r="H229" s="109">
        <v>713.37941999999998</v>
      </c>
      <c r="I229" s="495"/>
    </row>
    <row r="230" spans="1:10" ht="31.5">
      <c r="A230" s="196" t="s">
        <v>651</v>
      </c>
      <c r="B230" s="96">
        <v>934</v>
      </c>
      <c r="C230" s="96" t="s">
        <v>223</v>
      </c>
      <c r="D230" s="96" t="s">
        <v>216</v>
      </c>
      <c r="E230" s="96" t="s">
        <v>564</v>
      </c>
      <c r="F230" s="96" t="s">
        <v>440</v>
      </c>
      <c r="G230" s="109">
        <v>215.44058000000001</v>
      </c>
      <c r="H230" s="109">
        <v>215.44058000000001</v>
      </c>
      <c r="I230" s="495"/>
    </row>
    <row r="231" spans="1:10">
      <c r="A231" s="652" t="s">
        <v>819</v>
      </c>
      <c r="B231" s="103">
        <v>934</v>
      </c>
      <c r="C231" s="103" t="s">
        <v>223</v>
      </c>
      <c r="D231" s="103" t="s">
        <v>218</v>
      </c>
      <c r="E231" s="341"/>
      <c r="F231" s="103"/>
      <c r="G231" s="104">
        <f>G232</f>
        <v>15803.08986</v>
      </c>
      <c r="H231" s="104">
        <f>H232</f>
        <v>15803.08986</v>
      </c>
      <c r="I231" s="495"/>
    </row>
    <row r="232" spans="1:10" ht="31.5">
      <c r="A232" s="174" t="s">
        <v>900</v>
      </c>
      <c r="B232" s="185" t="s">
        <v>203</v>
      </c>
      <c r="C232" s="176" t="s">
        <v>223</v>
      </c>
      <c r="D232" s="176" t="s">
        <v>215</v>
      </c>
      <c r="E232" s="176" t="s">
        <v>621</v>
      </c>
      <c r="F232" s="103"/>
      <c r="G232" s="104">
        <f>G233</f>
        <v>15803.08986</v>
      </c>
      <c r="H232" s="104">
        <f>H233</f>
        <v>15803.08986</v>
      </c>
      <c r="I232" s="495"/>
    </row>
    <row r="233" spans="1:10" ht="31.5">
      <c r="A233" s="223" t="s">
        <v>1019</v>
      </c>
      <c r="B233" s="205" t="s">
        <v>203</v>
      </c>
      <c r="C233" s="201" t="s">
        <v>223</v>
      </c>
      <c r="D233" s="201" t="s">
        <v>215</v>
      </c>
      <c r="E233" s="201" t="s">
        <v>621</v>
      </c>
      <c r="F233" s="96"/>
      <c r="G233" s="109">
        <f>G234+G235+G237</f>
        <v>15803.08986</v>
      </c>
      <c r="H233" s="109">
        <f>H234+H235+H237</f>
        <v>15803.08986</v>
      </c>
      <c r="I233" s="495"/>
    </row>
    <row r="234" spans="1:10">
      <c r="A234" s="76" t="s">
        <v>350</v>
      </c>
      <c r="B234" s="96">
        <v>934</v>
      </c>
      <c r="C234" s="96" t="s">
        <v>223</v>
      </c>
      <c r="D234" s="96" t="s">
        <v>218</v>
      </c>
      <c r="E234" s="150" t="s">
        <v>563</v>
      </c>
      <c r="F234" s="96" t="s">
        <v>351</v>
      </c>
      <c r="G234" s="109">
        <f>4378.40986+52</f>
        <v>4430.4098599999998</v>
      </c>
      <c r="H234" s="109">
        <v>4430.4098599999998</v>
      </c>
      <c r="I234" s="495"/>
    </row>
    <row r="235" spans="1:10" ht="31.5">
      <c r="A235" s="77" t="s">
        <v>795</v>
      </c>
      <c r="B235" s="95">
        <v>934</v>
      </c>
      <c r="C235" s="95" t="s">
        <v>223</v>
      </c>
      <c r="D235" s="95" t="s">
        <v>218</v>
      </c>
      <c r="E235" s="635" t="s">
        <v>798</v>
      </c>
      <c r="F235" s="96"/>
      <c r="G235" s="109">
        <f>G236</f>
        <v>7519.6</v>
      </c>
      <c r="H235" s="109">
        <f>H236</f>
        <v>7519.6</v>
      </c>
      <c r="I235" s="495"/>
    </row>
    <row r="236" spans="1:10" ht="47.25">
      <c r="A236" s="76" t="s">
        <v>349</v>
      </c>
      <c r="B236" s="96">
        <v>934</v>
      </c>
      <c r="C236" s="96" t="s">
        <v>223</v>
      </c>
      <c r="D236" s="96" t="s">
        <v>218</v>
      </c>
      <c r="E236" s="636" t="s">
        <v>798</v>
      </c>
      <c r="F236" s="96" t="s">
        <v>421</v>
      </c>
      <c r="G236" s="109">
        <v>7519.6</v>
      </c>
      <c r="H236" s="109">
        <f>G236</f>
        <v>7519.6</v>
      </c>
      <c r="I236" s="495"/>
    </row>
    <row r="237" spans="1:10" ht="31.5">
      <c r="A237" s="77" t="s">
        <v>810</v>
      </c>
      <c r="B237" s="95">
        <v>934</v>
      </c>
      <c r="C237" s="95" t="s">
        <v>223</v>
      </c>
      <c r="D237" s="96" t="s">
        <v>218</v>
      </c>
      <c r="E237" s="635" t="s">
        <v>798</v>
      </c>
      <c r="F237" s="95"/>
      <c r="G237" s="108">
        <f>G238</f>
        <v>3853.08</v>
      </c>
      <c r="H237" s="108">
        <f>H238</f>
        <v>3853.08</v>
      </c>
      <c r="I237" s="495"/>
    </row>
    <row r="238" spans="1:10" ht="47.25">
      <c r="A238" s="76" t="s">
        <v>349</v>
      </c>
      <c r="B238" s="96">
        <v>934</v>
      </c>
      <c r="C238" s="96" t="s">
        <v>223</v>
      </c>
      <c r="D238" s="96" t="s">
        <v>218</v>
      </c>
      <c r="E238" s="636" t="s">
        <v>798</v>
      </c>
      <c r="F238" s="96" t="s">
        <v>421</v>
      </c>
      <c r="G238" s="109">
        <v>3853.08</v>
      </c>
      <c r="H238" s="109">
        <v>3853.08</v>
      </c>
      <c r="I238" s="495"/>
    </row>
    <row r="239" spans="1:10" s="92" customFormat="1">
      <c r="A239" s="80" t="s">
        <v>346</v>
      </c>
      <c r="B239" s="103">
        <v>934</v>
      </c>
      <c r="C239" s="103" t="s">
        <v>222</v>
      </c>
      <c r="D239" s="103"/>
      <c r="E239" s="114"/>
      <c r="F239" s="103"/>
      <c r="G239" s="104">
        <f t="shared" ref="G239:H242" si="13">G240</f>
        <v>700</v>
      </c>
      <c r="H239" s="104">
        <f t="shared" si="13"/>
        <v>700</v>
      </c>
      <c r="I239" s="495"/>
    </row>
    <row r="240" spans="1:10" s="91" customFormat="1">
      <c r="A240" s="79" t="s">
        <v>240</v>
      </c>
      <c r="B240" s="103">
        <v>934</v>
      </c>
      <c r="C240" s="106" t="s">
        <v>222</v>
      </c>
      <c r="D240" s="106" t="s">
        <v>216</v>
      </c>
      <c r="E240" s="103"/>
      <c r="F240" s="106"/>
      <c r="G240" s="107">
        <f t="shared" si="13"/>
        <v>700</v>
      </c>
      <c r="H240" s="107">
        <f t="shared" si="13"/>
        <v>700</v>
      </c>
      <c r="I240" s="495"/>
    </row>
    <row r="241" spans="1:10" s="90" customFormat="1" ht="47.25">
      <c r="A241" s="79" t="s">
        <v>895</v>
      </c>
      <c r="B241" s="96">
        <v>934</v>
      </c>
      <c r="C241" s="95" t="s">
        <v>222</v>
      </c>
      <c r="D241" s="95" t="s">
        <v>216</v>
      </c>
      <c r="E241" s="349" t="s">
        <v>566</v>
      </c>
      <c r="F241" s="106"/>
      <c r="G241" s="107">
        <f t="shared" si="13"/>
        <v>700</v>
      </c>
      <c r="H241" s="107">
        <f t="shared" si="13"/>
        <v>700</v>
      </c>
      <c r="I241" s="495"/>
    </row>
    <row r="242" spans="1:10" s="90" customFormat="1" ht="31.5">
      <c r="A242" s="189" t="s">
        <v>1117</v>
      </c>
      <c r="B242" s="96">
        <v>934</v>
      </c>
      <c r="C242" s="95" t="s">
        <v>222</v>
      </c>
      <c r="D242" s="95" t="s">
        <v>216</v>
      </c>
      <c r="E242" s="205" t="s">
        <v>531</v>
      </c>
      <c r="F242" s="95"/>
      <c r="G242" s="108">
        <f t="shared" si="13"/>
        <v>700</v>
      </c>
      <c r="H242" s="108">
        <f t="shared" si="13"/>
        <v>700</v>
      </c>
      <c r="I242" s="495"/>
    </row>
    <row r="243" spans="1:10" s="91" customFormat="1" ht="31.5">
      <c r="A243" s="223" t="s">
        <v>1118</v>
      </c>
      <c r="B243" s="96">
        <v>934</v>
      </c>
      <c r="C243" s="96" t="s">
        <v>222</v>
      </c>
      <c r="D243" s="96" t="s">
        <v>216</v>
      </c>
      <c r="E243" s="205" t="s">
        <v>531</v>
      </c>
      <c r="F243" s="96"/>
      <c r="G243" s="109">
        <f>G244</f>
        <v>700</v>
      </c>
      <c r="H243" s="109">
        <f>H244</f>
        <v>700</v>
      </c>
      <c r="I243" s="495"/>
    </row>
    <row r="244" spans="1:10" ht="47.25">
      <c r="A244" s="76" t="s">
        <v>349</v>
      </c>
      <c r="B244" s="96">
        <v>934</v>
      </c>
      <c r="C244" s="96" t="s">
        <v>222</v>
      </c>
      <c r="D244" s="96" t="s">
        <v>216</v>
      </c>
      <c r="E244" s="205" t="s">
        <v>531</v>
      </c>
      <c r="F244" s="96" t="s">
        <v>421</v>
      </c>
      <c r="G244" s="109">
        <v>700</v>
      </c>
      <c r="H244" s="109">
        <v>700</v>
      </c>
      <c r="I244" s="495"/>
    </row>
    <row r="245" spans="1:10" ht="31.5">
      <c r="A245" s="80" t="s">
        <v>158</v>
      </c>
      <c r="B245" s="103">
        <v>934</v>
      </c>
      <c r="C245" s="103" t="s">
        <v>228</v>
      </c>
      <c r="D245" s="103"/>
      <c r="E245" s="103"/>
      <c r="F245" s="103"/>
      <c r="G245" s="104">
        <f>G246</f>
        <v>11705.800490000001</v>
      </c>
      <c r="H245" s="104">
        <f>H246</f>
        <v>11614.68989</v>
      </c>
      <c r="I245" s="495"/>
    </row>
    <row r="246" spans="1:10" s="92" customFormat="1">
      <c r="A246" s="79" t="s">
        <v>78</v>
      </c>
      <c r="B246" s="106" t="s">
        <v>203</v>
      </c>
      <c r="C246" s="106" t="s">
        <v>228</v>
      </c>
      <c r="D246" s="106" t="s">
        <v>218</v>
      </c>
      <c r="E246" s="103"/>
      <c r="F246" s="106"/>
      <c r="G246" s="107">
        <f>G247+G250+G254+G260</f>
        <v>11705.800490000001</v>
      </c>
      <c r="H246" s="107">
        <f>H247+H250+H254+H266+H264</f>
        <v>11614.68989</v>
      </c>
      <c r="I246" s="495"/>
    </row>
    <row r="247" spans="1:10" s="92" customFormat="1" ht="39.75" customHeight="1">
      <c r="A247" s="670" t="s">
        <v>901</v>
      </c>
      <c r="B247" s="671">
        <v>934</v>
      </c>
      <c r="C247" s="671">
        <v>14</v>
      </c>
      <c r="D247" s="672" t="s">
        <v>218</v>
      </c>
      <c r="E247" s="672" t="s">
        <v>869</v>
      </c>
      <c r="F247" s="671"/>
      <c r="G247" s="673">
        <f>G248</f>
        <v>23.689889999999998</v>
      </c>
      <c r="H247" s="194">
        <f>H248</f>
        <v>23.689889999999998</v>
      </c>
      <c r="I247" s="495"/>
    </row>
    <row r="248" spans="1:10" s="92" customFormat="1">
      <c r="A248" s="540" t="s">
        <v>1021</v>
      </c>
      <c r="B248" s="502">
        <v>934</v>
      </c>
      <c r="C248" s="502">
        <v>14</v>
      </c>
      <c r="D248" s="541" t="s">
        <v>218</v>
      </c>
      <c r="E248" s="150" t="s">
        <v>869</v>
      </c>
      <c r="F248" s="502"/>
      <c r="G248" s="574">
        <f>G249</f>
        <v>23.689889999999998</v>
      </c>
      <c r="H248" s="109">
        <f>H249</f>
        <v>23.689889999999998</v>
      </c>
      <c r="I248" s="495"/>
    </row>
    <row r="249" spans="1:10" s="92" customFormat="1">
      <c r="A249" s="540" t="s">
        <v>411</v>
      </c>
      <c r="B249" s="502">
        <v>934</v>
      </c>
      <c r="C249" s="502">
        <v>14</v>
      </c>
      <c r="D249" s="541" t="s">
        <v>218</v>
      </c>
      <c r="E249" s="150" t="s">
        <v>869</v>
      </c>
      <c r="F249" s="502">
        <v>540</v>
      </c>
      <c r="G249" s="574">
        <f>10.06808+13.62181</f>
        <v>23.689889999999998</v>
      </c>
      <c r="H249" s="109">
        <f>10.06808+13.62181</f>
        <v>23.689889999999998</v>
      </c>
      <c r="I249" s="495"/>
    </row>
    <row r="250" spans="1:10" s="92" customFormat="1" ht="47.25">
      <c r="A250" s="670" t="s">
        <v>895</v>
      </c>
      <c r="B250" s="176">
        <v>934</v>
      </c>
      <c r="C250" s="176" t="s">
        <v>228</v>
      </c>
      <c r="D250" s="176" t="s">
        <v>218</v>
      </c>
      <c r="E250" s="176" t="s">
        <v>566</v>
      </c>
      <c r="F250" s="176"/>
      <c r="G250" s="178">
        <f>G251</f>
        <v>750</v>
      </c>
      <c r="H250" s="178">
        <f>H251</f>
        <v>800</v>
      </c>
      <c r="I250" s="495"/>
    </row>
    <row r="251" spans="1:10" s="92" customFormat="1" ht="31.5">
      <c r="A251" s="179" t="s">
        <v>897</v>
      </c>
      <c r="B251" s="187">
        <v>934</v>
      </c>
      <c r="C251" s="187" t="s">
        <v>228</v>
      </c>
      <c r="D251" s="187" t="s">
        <v>218</v>
      </c>
      <c r="E251" s="187" t="s">
        <v>523</v>
      </c>
      <c r="F251" s="187"/>
      <c r="G251" s="195">
        <f>G253</f>
        <v>750</v>
      </c>
      <c r="H251" s="195">
        <f>H252</f>
        <v>800</v>
      </c>
      <c r="I251" s="495"/>
    </row>
    <row r="252" spans="1:10" s="92" customFormat="1">
      <c r="A252" s="76" t="s">
        <v>1020</v>
      </c>
      <c r="B252" s="96">
        <v>934</v>
      </c>
      <c r="C252" s="96" t="s">
        <v>228</v>
      </c>
      <c r="D252" s="96" t="s">
        <v>218</v>
      </c>
      <c r="E252" s="96" t="s">
        <v>997</v>
      </c>
      <c r="F252" s="150"/>
      <c r="G252" s="149">
        <f>G253</f>
        <v>750</v>
      </c>
      <c r="H252" s="149">
        <f>H253</f>
        <v>800</v>
      </c>
      <c r="I252" s="495"/>
    </row>
    <row r="253" spans="1:10" s="92" customFormat="1">
      <c r="A253" s="76" t="s">
        <v>411</v>
      </c>
      <c r="B253" s="96">
        <v>934</v>
      </c>
      <c r="C253" s="96" t="s">
        <v>228</v>
      </c>
      <c r="D253" s="96" t="s">
        <v>218</v>
      </c>
      <c r="E253" s="96" t="s">
        <v>998</v>
      </c>
      <c r="F253" s="96" t="s">
        <v>422</v>
      </c>
      <c r="G253" s="109">
        <v>750</v>
      </c>
      <c r="H253" s="109">
        <v>800</v>
      </c>
      <c r="I253" s="495"/>
    </row>
    <row r="254" spans="1:10" s="92" customFormat="1" ht="31.5">
      <c r="A254" s="193" t="s">
        <v>771</v>
      </c>
      <c r="B254" s="671">
        <v>934</v>
      </c>
      <c r="C254" s="671">
        <v>14</v>
      </c>
      <c r="D254" s="672" t="s">
        <v>218</v>
      </c>
      <c r="E254" s="185" t="s">
        <v>688</v>
      </c>
      <c r="F254" s="185"/>
      <c r="G254" s="194">
        <f>G255</f>
        <v>10715.360600000002</v>
      </c>
      <c r="H254" s="194">
        <f>H255</f>
        <v>0</v>
      </c>
      <c r="I254" s="495"/>
    </row>
    <row r="255" spans="1:10" s="91" customFormat="1" ht="59.25" customHeight="1">
      <c r="A255" s="207" t="s">
        <v>1022</v>
      </c>
      <c r="B255" s="721">
        <v>934</v>
      </c>
      <c r="C255" s="721">
        <v>14</v>
      </c>
      <c r="D255" s="722" t="s">
        <v>218</v>
      </c>
      <c r="E255" s="205" t="s">
        <v>688</v>
      </c>
      <c r="F255" s="201"/>
      <c r="G255" s="202">
        <f>G256+G258</f>
        <v>10715.360600000002</v>
      </c>
      <c r="H255" s="202">
        <f>H256+H258</f>
        <v>0</v>
      </c>
      <c r="I255" s="578" t="s">
        <v>862</v>
      </c>
      <c r="J255" s="644"/>
    </row>
    <row r="256" spans="1:10" ht="47.25">
      <c r="A256" s="77" t="s">
        <v>777</v>
      </c>
      <c r="B256" s="98">
        <v>934</v>
      </c>
      <c r="C256" s="96" t="s">
        <v>228</v>
      </c>
      <c r="D256" s="96" t="s">
        <v>218</v>
      </c>
      <c r="E256" s="233" t="s">
        <v>688</v>
      </c>
      <c r="F256" s="96"/>
      <c r="G256" s="109">
        <f>G257</f>
        <v>10704.300000000001</v>
      </c>
      <c r="H256" s="109">
        <f>H257</f>
        <v>0</v>
      </c>
      <c r="I256" s="495"/>
    </row>
    <row r="257" spans="1:9" s="91" customFormat="1">
      <c r="A257" s="76" t="s">
        <v>411</v>
      </c>
      <c r="B257" s="98">
        <v>934</v>
      </c>
      <c r="C257" s="96" t="s">
        <v>228</v>
      </c>
      <c r="D257" s="96" t="s">
        <v>218</v>
      </c>
      <c r="E257" s="233" t="s">
        <v>688</v>
      </c>
      <c r="F257" s="96" t="s">
        <v>422</v>
      </c>
      <c r="G257" s="109">
        <f>11060.6-356.3</f>
        <v>10704.300000000001</v>
      </c>
      <c r="H257" s="109">
        <v>0</v>
      </c>
      <c r="I257" s="495"/>
    </row>
    <row r="258" spans="1:9" s="91" customFormat="1" ht="47.25">
      <c r="A258" s="77" t="s">
        <v>932</v>
      </c>
      <c r="B258" s="97">
        <v>934</v>
      </c>
      <c r="C258" s="95" t="s">
        <v>228</v>
      </c>
      <c r="D258" s="95" t="s">
        <v>218</v>
      </c>
      <c r="E258" s="233" t="s">
        <v>688</v>
      </c>
      <c r="F258" s="95"/>
      <c r="G258" s="109">
        <f>G259</f>
        <v>11.060600000000001</v>
      </c>
      <c r="H258" s="109">
        <v>0</v>
      </c>
      <c r="I258" s="495"/>
    </row>
    <row r="259" spans="1:9" s="91" customFormat="1">
      <c r="A259" s="76" t="s">
        <v>411</v>
      </c>
      <c r="B259" s="98">
        <v>934</v>
      </c>
      <c r="C259" s="96" t="s">
        <v>228</v>
      </c>
      <c r="D259" s="96" t="s">
        <v>218</v>
      </c>
      <c r="E259" s="233" t="s">
        <v>688</v>
      </c>
      <c r="F259" s="96" t="s">
        <v>422</v>
      </c>
      <c r="G259" s="109">
        <v>11.060600000000001</v>
      </c>
      <c r="H259" s="109">
        <v>0</v>
      </c>
      <c r="I259" s="495"/>
    </row>
    <row r="260" spans="1:9" s="91" customFormat="1" ht="31.5">
      <c r="A260" s="426" t="s">
        <v>838</v>
      </c>
      <c r="B260" s="185" t="s">
        <v>203</v>
      </c>
      <c r="C260" s="185" t="s">
        <v>228</v>
      </c>
      <c r="D260" s="185" t="s">
        <v>218</v>
      </c>
      <c r="E260" s="185" t="s">
        <v>594</v>
      </c>
      <c r="F260" s="185"/>
      <c r="G260" s="194">
        <f>G262</f>
        <v>216.75</v>
      </c>
      <c r="H260" s="194">
        <f>H262</f>
        <v>0</v>
      </c>
      <c r="I260" s="495"/>
    </row>
    <row r="261" spans="1:9" s="91" customFormat="1">
      <c r="A261" s="426" t="s">
        <v>1023</v>
      </c>
      <c r="B261" s="185" t="s">
        <v>203</v>
      </c>
      <c r="C261" s="185" t="s">
        <v>228</v>
      </c>
      <c r="D261" s="185" t="s">
        <v>218</v>
      </c>
      <c r="E261" s="185" t="s">
        <v>992</v>
      </c>
      <c r="F261" s="185"/>
      <c r="G261" s="194">
        <f>G262</f>
        <v>216.75</v>
      </c>
      <c r="H261" s="194"/>
      <c r="I261" s="495"/>
    </row>
    <row r="262" spans="1:9" s="91" customFormat="1" ht="63">
      <c r="A262" s="209" t="s">
        <v>841</v>
      </c>
      <c r="B262" s="205" t="s">
        <v>203</v>
      </c>
      <c r="C262" s="205" t="s">
        <v>228</v>
      </c>
      <c r="D262" s="205" t="s">
        <v>218</v>
      </c>
      <c r="E262" s="96" t="s">
        <v>999</v>
      </c>
      <c r="F262" s="205"/>
      <c r="G262" s="200">
        <f>G263</f>
        <v>216.75</v>
      </c>
      <c r="H262" s="109">
        <f>H263</f>
        <v>0</v>
      </c>
      <c r="I262" s="495"/>
    </row>
    <row r="263" spans="1:9" s="91" customFormat="1">
      <c r="A263" s="540" t="s">
        <v>411</v>
      </c>
      <c r="B263" s="502">
        <v>934</v>
      </c>
      <c r="C263" s="502">
        <v>14</v>
      </c>
      <c r="D263" s="541" t="s">
        <v>218</v>
      </c>
      <c r="E263" s="96" t="s">
        <v>999</v>
      </c>
      <c r="F263" s="502">
        <v>540</v>
      </c>
      <c r="G263" s="574">
        <v>216.75</v>
      </c>
      <c r="H263" s="109">
        <v>0</v>
      </c>
      <c r="I263" s="495"/>
    </row>
    <row r="264" spans="1:9" s="91" customFormat="1" ht="63">
      <c r="A264" s="209" t="s">
        <v>841</v>
      </c>
      <c r="B264" s="205" t="s">
        <v>203</v>
      </c>
      <c r="C264" s="205" t="s">
        <v>228</v>
      </c>
      <c r="D264" s="205" t="s">
        <v>218</v>
      </c>
      <c r="E264" s="96" t="s">
        <v>999</v>
      </c>
      <c r="F264" s="205"/>
      <c r="G264" s="574"/>
      <c r="H264" s="109">
        <f>H265</f>
        <v>86.7</v>
      </c>
      <c r="I264" s="495"/>
    </row>
    <row r="265" spans="1:9" s="91" customFormat="1">
      <c r="A265" s="540" t="s">
        <v>411</v>
      </c>
      <c r="B265" s="502">
        <v>934</v>
      </c>
      <c r="C265" s="502">
        <v>14</v>
      </c>
      <c r="D265" s="541" t="s">
        <v>218</v>
      </c>
      <c r="E265" s="96" t="s">
        <v>999</v>
      </c>
      <c r="F265" s="502">
        <v>540</v>
      </c>
      <c r="G265" s="574">
        <v>0</v>
      </c>
      <c r="H265" s="109">
        <v>86.7</v>
      </c>
      <c r="I265" s="495"/>
    </row>
    <row r="266" spans="1:9" s="91" customFormat="1" ht="47.25">
      <c r="A266" s="76" t="s">
        <v>1227</v>
      </c>
      <c r="B266" s="97">
        <v>934</v>
      </c>
      <c r="C266" s="95" t="s">
        <v>228</v>
      </c>
      <c r="D266" s="95" t="s">
        <v>218</v>
      </c>
      <c r="E266" s="233" t="s">
        <v>688</v>
      </c>
      <c r="F266" s="96"/>
      <c r="G266" s="109">
        <v>0</v>
      </c>
      <c r="H266" s="109">
        <f>H267</f>
        <v>10704.3</v>
      </c>
      <c r="I266" s="495"/>
    </row>
    <row r="267" spans="1:9" s="91" customFormat="1" ht="28.5" customHeight="1">
      <c r="A267" s="76" t="s">
        <v>411</v>
      </c>
      <c r="B267" s="98">
        <v>934</v>
      </c>
      <c r="C267" s="96" t="s">
        <v>228</v>
      </c>
      <c r="D267" s="96" t="s">
        <v>218</v>
      </c>
      <c r="E267" s="233" t="s">
        <v>688</v>
      </c>
      <c r="F267" s="96" t="s">
        <v>422</v>
      </c>
      <c r="G267" s="109">
        <v>0</v>
      </c>
      <c r="H267" s="109">
        <v>10704.3</v>
      </c>
      <c r="I267" s="495"/>
    </row>
    <row r="268" spans="1:9" s="92" customFormat="1">
      <c r="A268" s="124" t="s">
        <v>116</v>
      </c>
      <c r="B268" s="100" t="s">
        <v>117</v>
      </c>
      <c r="C268" s="100"/>
      <c r="D268" s="100"/>
      <c r="E268" s="100"/>
      <c r="F268" s="100"/>
      <c r="G268" s="101">
        <f>G269+G432</f>
        <v>673350.31404999993</v>
      </c>
      <c r="H268" s="101">
        <f>H269+H432</f>
        <v>672399.30206000002</v>
      </c>
      <c r="I268" s="496"/>
    </row>
    <row r="269" spans="1:9">
      <c r="A269" s="80" t="s">
        <v>408</v>
      </c>
      <c r="B269" s="103" t="s">
        <v>117</v>
      </c>
      <c r="C269" s="103" t="s">
        <v>217</v>
      </c>
      <c r="D269" s="103"/>
      <c r="E269" s="103"/>
      <c r="F269" s="103"/>
      <c r="G269" s="104">
        <f>G270+G290+G333+G354+G377</f>
        <v>669890.81404999993</v>
      </c>
      <c r="H269" s="104">
        <f>H270+H290+H333+H354+H377</f>
        <v>668939.80206000002</v>
      </c>
      <c r="I269" s="496"/>
    </row>
    <row r="270" spans="1:9">
      <c r="A270" s="80" t="s">
        <v>355</v>
      </c>
      <c r="B270" s="103" t="s">
        <v>117</v>
      </c>
      <c r="C270" s="103" t="s">
        <v>217</v>
      </c>
      <c r="D270" s="103" t="s">
        <v>215</v>
      </c>
      <c r="E270" s="103"/>
      <c r="F270" s="103"/>
      <c r="G270" s="123">
        <f>G274+G271</f>
        <v>109286.03624</v>
      </c>
      <c r="H270" s="123">
        <f>H271+H274+H283</f>
        <v>109654.60623999999</v>
      </c>
      <c r="I270" s="496"/>
    </row>
    <row r="271" spans="1:9" ht="54.75" customHeight="1">
      <c r="A271" s="670" t="s">
        <v>890</v>
      </c>
      <c r="B271" s="690" t="s">
        <v>117</v>
      </c>
      <c r="C271" s="690" t="s">
        <v>217</v>
      </c>
      <c r="D271" s="690" t="s">
        <v>215</v>
      </c>
      <c r="E271" s="690" t="s">
        <v>551</v>
      </c>
      <c r="F271" s="176"/>
      <c r="G271" s="178">
        <f>G272</f>
        <v>160</v>
      </c>
      <c r="H271" s="178">
        <f>H272</f>
        <v>160</v>
      </c>
      <c r="I271" s="496"/>
    </row>
    <row r="272" spans="1:9" ht="37.5" customHeight="1">
      <c r="A272" s="174" t="s">
        <v>1017</v>
      </c>
      <c r="B272" s="175">
        <v>934</v>
      </c>
      <c r="C272" s="176" t="s">
        <v>217</v>
      </c>
      <c r="D272" s="176" t="s">
        <v>215</v>
      </c>
      <c r="E272" s="176" t="s">
        <v>551</v>
      </c>
      <c r="F272" s="176"/>
      <c r="G272" s="178">
        <f>G273</f>
        <v>160</v>
      </c>
      <c r="H272" s="178">
        <f>H273</f>
        <v>160</v>
      </c>
      <c r="I272" s="496"/>
    </row>
    <row r="273" spans="1:11" ht="22.5" customHeight="1">
      <c r="A273" s="76" t="s">
        <v>271</v>
      </c>
      <c r="B273" s="98">
        <v>934</v>
      </c>
      <c r="C273" s="96" t="s">
        <v>217</v>
      </c>
      <c r="D273" s="96" t="s">
        <v>215</v>
      </c>
      <c r="E273" s="150" t="s">
        <v>551</v>
      </c>
      <c r="F273" s="96" t="s">
        <v>268</v>
      </c>
      <c r="G273" s="122">
        <v>160</v>
      </c>
      <c r="H273" s="122">
        <v>160</v>
      </c>
      <c r="I273" s="496"/>
    </row>
    <row r="274" spans="1:11" s="91" customFormat="1" ht="31.5">
      <c r="A274" s="174" t="s">
        <v>776</v>
      </c>
      <c r="B274" s="185" t="s">
        <v>117</v>
      </c>
      <c r="C274" s="185" t="s">
        <v>217</v>
      </c>
      <c r="D274" s="185" t="s">
        <v>215</v>
      </c>
      <c r="E274" s="185" t="s">
        <v>933</v>
      </c>
      <c r="F274" s="185"/>
      <c r="G274" s="194">
        <f>G275+G283</f>
        <v>109126.03624</v>
      </c>
      <c r="H274" s="194">
        <f>H275</f>
        <v>0</v>
      </c>
      <c r="I274" s="496"/>
    </row>
    <row r="275" spans="1:11" s="91" customFormat="1" ht="31.5">
      <c r="A275" s="179" t="s">
        <v>458</v>
      </c>
      <c r="B275" s="181" t="s">
        <v>117</v>
      </c>
      <c r="C275" s="181" t="s">
        <v>217</v>
      </c>
      <c r="D275" s="181" t="s">
        <v>215</v>
      </c>
      <c r="E275" s="181" t="s">
        <v>934</v>
      </c>
      <c r="F275" s="181"/>
      <c r="G275" s="195">
        <f>G277+G280</f>
        <v>109126.03624</v>
      </c>
      <c r="H275" s="195">
        <f>H277+H280</f>
        <v>0</v>
      </c>
      <c r="I275" s="496"/>
    </row>
    <row r="276" spans="1:11" s="91" customFormat="1" ht="47.25">
      <c r="A276" s="693" t="s">
        <v>935</v>
      </c>
      <c r="B276" s="191">
        <v>936</v>
      </c>
      <c r="C276" s="159" t="s">
        <v>217</v>
      </c>
      <c r="D276" s="159" t="s">
        <v>215</v>
      </c>
      <c r="E276" s="201" t="s">
        <v>936</v>
      </c>
      <c r="F276" s="181"/>
      <c r="G276" s="195">
        <f>G277+G280</f>
        <v>109126.03624</v>
      </c>
      <c r="H276" s="195">
        <f>H277+H280</f>
        <v>0</v>
      </c>
      <c r="I276" s="496"/>
    </row>
    <row r="277" spans="1:11" ht="47.25">
      <c r="A277" s="76" t="s">
        <v>270</v>
      </c>
      <c r="B277" s="96" t="s">
        <v>117</v>
      </c>
      <c r="C277" s="96" t="s">
        <v>217</v>
      </c>
      <c r="D277" s="96" t="s">
        <v>215</v>
      </c>
      <c r="E277" s="150" t="s">
        <v>937</v>
      </c>
      <c r="F277" s="159"/>
      <c r="G277" s="122">
        <f>G278+G279</f>
        <v>43322.56624</v>
      </c>
      <c r="H277" s="122">
        <f>H278+H279</f>
        <v>0</v>
      </c>
      <c r="I277" s="496"/>
    </row>
    <row r="278" spans="1:11" s="92" customFormat="1" ht="47.25">
      <c r="A278" s="76" t="s">
        <v>349</v>
      </c>
      <c r="B278" s="96" t="s">
        <v>117</v>
      </c>
      <c r="C278" s="96" t="s">
        <v>217</v>
      </c>
      <c r="D278" s="96" t="s">
        <v>215</v>
      </c>
      <c r="E278" s="150" t="s">
        <v>937</v>
      </c>
      <c r="F278" s="96" t="s">
        <v>420</v>
      </c>
      <c r="G278" s="200">
        <f>32696.957-1500</f>
        <v>31196.956999999999</v>
      </c>
      <c r="H278" s="200">
        <v>0</v>
      </c>
      <c r="I278" s="496"/>
    </row>
    <row r="279" spans="1:11" s="92" customFormat="1" ht="47.25">
      <c r="A279" s="76" t="s">
        <v>349</v>
      </c>
      <c r="B279" s="96" t="s">
        <v>117</v>
      </c>
      <c r="C279" s="96" t="s">
        <v>217</v>
      </c>
      <c r="D279" s="96" t="s">
        <v>215</v>
      </c>
      <c r="E279" s="150" t="s">
        <v>937</v>
      </c>
      <c r="F279" s="96" t="s">
        <v>421</v>
      </c>
      <c r="G279" s="200">
        <f>12948.161-822.55176</f>
        <v>12125.60924</v>
      </c>
      <c r="H279" s="200">
        <v>0</v>
      </c>
      <c r="I279" s="496"/>
    </row>
    <row r="280" spans="1:11" s="92" customFormat="1" ht="31.5">
      <c r="A280" s="158" t="s">
        <v>356</v>
      </c>
      <c r="B280" s="159" t="s">
        <v>117</v>
      </c>
      <c r="C280" s="159" t="s">
        <v>217</v>
      </c>
      <c r="D280" s="159" t="s">
        <v>215</v>
      </c>
      <c r="E280" s="159" t="s">
        <v>938</v>
      </c>
      <c r="F280" s="159"/>
      <c r="G280" s="122">
        <f>G281+G282</f>
        <v>65803.47</v>
      </c>
      <c r="H280" s="122">
        <f>H281+H282</f>
        <v>0</v>
      </c>
      <c r="I280" s="577"/>
      <c r="J280" s="214"/>
      <c r="K280" s="214"/>
    </row>
    <row r="281" spans="1:11" s="92" customFormat="1">
      <c r="A281" s="170" t="s">
        <v>350</v>
      </c>
      <c r="B281" s="150" t="s">
        <v>117</v>
      </c>
      <c r="C281" s="150" t="s">
        <v>217</v>
      </c>
      <c r="D281" s="150" t="s">
        <v>215</v>
      </c>
      <c r="E281" s="150" t="s">
        <v>938</v>
      </c>
      <c r="F281" s="150" t="s">
        <v>268</v>
      </c>
      <c r="G281" s="149">
        <v>38889.5</v>
      </c>
      <c r="H281" s="149">
        <v>0</v>
      </c>
      <c r="I281" s="496"/>
    </row>
    <row r="282" spans="1:11" s="91" customFormat="1">
      <c r="A282" s="170" t="s">
        <v>271</v>
      </c>
      <c r="B282" s="150" t="s">
        <v>117</v>
      </c>
      <c r="C282" s="150" t="s">
        <v>217</v>
      </c>
      <c r="D282" s="150" t="s">
        <v>215</v>
      </c>
      <c r="E282" s="150" t="s">
        <v>550</v>
      </c>
      <c r="F282" s="150" t="s">
        <v>351</v>
      </c>
      <c r="G282" s="149">
        <v>26913.97</v>
      </c>
      <c r="H282" s="149">
        <v>0</v>
      </c>
      <c r="I282" s="496"/>
    </row>
    <row r="283" spans="1:11" s="91" customFormat="1">
      <c r="A283" s="170" t="s">
        <v>467</v>
      </c>
      <c r="B283" s="150" t="s">
        <v>117</v>
      </c>
      <c r="C283" s="150" t="s">
        <v>217</v>
      </c>
      <c r="D283" s="150" t="s">
        <v>215</v>
      </c>
      <c r="E283" s="150" t="s">
        <v>0</v>
      </c>
      <c r="F283" s="150"/>
      <c r="G283" s="149">
        <v>0</v>
      </c>
      <c r="H283" s="149">
        <f>H284+H287</f>
        <v>109494.60623999999</v>
      </c>
      <c r="I283" s="496"/>
    </row>
    <row r="284" spans="1:11" s="91" customFormat="1" ht="31.5">
      <c r="A284" s="158" t="s">
        <v>395</v>
      </c>
      <c r="B284" s="191">
        <v>936</v>
      </c>
      <c r="C284" s="159" t="s">
        <v>217</v>
      </c>
      <c r="D284" s="159" t="s">
        <v>215</v>
      </c>
      <c r="E284" s="150" t="s">
        <v>906</v>
      </c>
      <c r="F284" s="159"/>
      <c r="G284" s="149">
        <v>0</v>
      </c>
      <c r="H284" s="122">
        <f>H285+H286</f>
        <v>43322.836239999997</v>
      </c>
      <c r="I284" s="496"/>
    </row>
    <row r="285" spans="1:11" s="91" customFormat="1" ht="47.25">
      <c r="A285" s="76" t="s">
        <v>270</v>
      </c>
      <c r="B285" s="96" t="s">
        <v>117</v>
      </c>
      <c r="C285" s="96" t="s">
        <v>217</v>
      </c>
      <c r="D285" s="96" t="s">
        <v>215</v>
      </c>
      <c r="E285" s="150" t="s">
        <v>906</v>
      </c>
      <c r="F285" s="96" t="s">
        <v>420</v>
      </c>
      <c r="G285" s="149">
        <v>0</v>
      </c>
      <c r="H285" s="200">
        <f>32696.957-1500+0.27</f>
        <v>31197.226999999999</v>
      </c>
      <c r="I285" s="496"/>
    </row>
    <row r="286" spans="1:11" s="91" customFormat="1" ht="47.25">
      <c r="A286" s="76" t="s">
        <v>349</v>
      </c>
      <c r="B286" s="96" t="s">
        <v>117</v>
      </c>
      <c r="C286" s="96" t="s">
        <v>217</v>
      </c>
      <c r="D286" s="96" t="s">
        <v>215</v>
      </c>
      <c r="E286" s="150" t="s">
        <v>906</v>
      </c>
      <c r="F286" s="96" t="s">
        <v>421</v>
      </c>
      <c r="G286" s="149">
        <v>0</v>
      </c>
      <c r="H286" s="200">
        <f>12948.161-822.55176</f>
        <v>12125.60924</v>
      </c>
      <c r="I286" s="496"/>
    </row>
    <row r="287" spans="1:11" s="91" customFormat="1" ht="31.5">
      <c r="A287" s="158" t="s">
        <v>356</v>
      </c>
      <c r="B287" s="159" t="s">
        <v>117</v>
      </c>
      <c r="C287" s="159" t="s">
        <v>217</v>
      </c>
      <c r="D287" s="159" t="s">
        <v>215</v>
      </c>
      <c r="E287" s="150" t="s">
        <v>907</v>
      </c>
      <c r="F287" s="159"/>
      <c r="G287" s="149">
        <v>0</v>
      </c>
      <c r="H287" s="122">
        <f>H288+H289</f>
        <v>66171.77</v>
      </c>
      <c r="I287" s="496"/>
    </row>
    <row r="288" spans="1:11" s="91" customFormat="1">
      <c r="A288" s="170" t="s">
        <v>271</v>
      </c>
      <c r="B288" s="150" t="s">
        <v>117</v>
      </c>
      <c r="C288" s="150" t="s">
        <v>217</v>
      </c>
      <c r="D288" s="150" t="s">
        <v>215</v>
      </c>
      <c r="E288" s="150" t="s">
        <v>907</v>
      </c>
      <c r="F288" s="150" t="s">
        <v>268</v>
      </c>
      <c r="G288" s="149">
        <v>0</v>
      </c>
      <c r="H288" s="149">
        <f>38889.5+368.3</f>
        <v>39257.800000000003</v>
      </c>
      <c r="I288" s="496"/>
    </row>
    <row r="289" spans="1:10" s="91" customFormat="1">
      <c r="A289" s="170" t="s">
        <v>271</v>
      </c>
      <c r="B289" s="150" t="s">
        <v>117</v>
      </c>
      <c r="C289" s="150" t="s">
        <v>217</v>
      </c>
      <c r="D289" s="150" t="s">
        <v>215</v>
      </c>
      <c r="E289" s="150" t="s">
        <v>907</v>
      </c>
      <c r="F289" s="150" t="s">
        <v>351</v>
      </c>
      <c r="G289" s="149">
        <v>0</v>
      </c>
      <c r="H289" s="149">
        <v>26913.97</v>
      </c>
      <c r="I289" s="496"/>
    </row>
    <row r="290" spans="1:10" s="91" customFormat="1">
      <c r="A290" s="79" t="s">
        <v>262</v>
      </c>
      <c r="B290" s="103" t="s">
        <v>117</v>
      </c>
      <c r="C290" s="106" t="s">
        <v>217</v>
      </c>
      <c r="D290" s="106" t="s">
        <v>216</v>
      </c>
      <c r="E290" s="103"/>
      <c r="F290" s="106"/>
      <c r="G290" s="107">
        <f>G291</f>
        <v>475865.82180999994</v>
      </c>
      <c r="H290" s="107">
        <f>H291+H314</f>
        <v>474896.53981999995</v>
      </c>
      <c r="I290" s="577"/>
    </row>
    <row r="291" spans="1:10" ht="31.5">
      <c r="A291" s="174" t="s">
        <v>770</v>
      </c>
      <c r="B291" s="185" t="s">
        <v>117</v>
      </c>
      <c r="C291" s="185" t="s">
        <v>217</v>
      </c>
      <c r="D291" s="185" t="s">
        <v>216</v>
      </c>
      <c r="E291" s="185" t="s">
        <v>940</v>
      </c>
      <c r="F291" s="185"/>
      <c r="G291" s="194">
        <f>G292</f>
        <v>475865.82180999994</v>
      </c>
      <c r="H291" s="194">
        <f>H292</f>
        <v>0</v>
      </c>
      <c r="I291" s="496"/>
    </row>
    <row r="292" spans="1:10" ht="31.5">
      <c r="A292" s="179" t="s">
        <v>457</v>
      </c>
      <c r="B292" s="181" t="s">
        <v>117</v>
      </c>
      <c r="C292" s="181" t="s">
        <v>217</v>
      </c>
      <c r="D292" s="181" t="s">
        <v>216</v>
      </c>
      <c r="E292" s="181" t="s">
        <v>941</v>
      </c>
      <c r="F292" s="181"/>
      <c r="G292" s="195">
        <f>G293</f>
        <v>475865.82180999994</v>
      </c>
      <c r="H292" s="195">
        <f>H294+H296+H298+H300+H302+H306+H308</f>
        <v>0</v>
      </c>
      <c r="I292" s="496"/>
    </row>
    <row r="293" spans="1:10" ht="31.5">
      <c r="A293" s="179" t="s">
        <v>939</v>
      </c>
      <c r="B293" s="181" t="s">
        <v>117</v>
      </c>
      <c r="C293" s="181" t="s">
        <v>217</v>
      </c>
      <c r="D293" s="181" t="s">
        <v>216</v>
      </c>
      <c r="E293" s="181" t="s">
        <v>942</v>
      </c>
      <c r="F293" s="181"/>
      <c r="G293" s="195">
        <f>G294+G296+G298+G300+G302+G304+G306+G308+G310+G312</f>
        <v>475865.82180999994</v>
      </c>
      <c r="H293" s="195">
        <f>H294+H296+H298+H300+H302+H304+H306+H308+H310+H312</f>
        <v>0</v>
      </c>
      <c r="I293" s="496"/>
    </row>
    <row r="294" spans="1:10" ht="31.5">
      <c r="A294" s="158" t="s">
        <v>395</v>
      </c>
      <c r="B294" s="159" t="s">
        <v>117</v>
      </c>
      <c r="C294" s="159" t="s">
        <v>217</v>
      </c>
      <c r="D294" s="159" t="s">
        <v>216</v>
      </c>
      <c r="E294" s="150" t="s">
        <v>944</v>
      </c>
      <c r="F294" s="253"/>
      <c r="G294" s="202">
        <f>G295</f>
        <v>59986.791810000002</v>
      </c>
      <c r="H294" s="202">
        <f>H295</f>
        <v>0</v>
      </c>
      <c r="I294" s="496"/>
    </row>
    <row r="295" spans="1:10" s="157" customFormat="1" ht="47.25">
      <c r="A295" s="76" t="s">
        <v>270</v>
      </c>
      <c r="B295" s="96" t="s">
        <v>117</v>
      </c>
      <c r="C295" s="96" t="s">
        <v>217</v>
      </c>
      <c r="D295" s="96" t="s">
        <v>216</v>
      </c>
      <c r="E295" s="150" t="s">
        <v>944</v>
      </c>
      <c r="F295" s="96" t="s">
        <v>420</v>
      </c>
      <c r="G295" s="200">
        <f>75224.62482-15000+200+12.62449-239.7-5.9925+11.985-216.75</f>
        <v>59986.791810000002</v>
      </c>
      <c r="H295" s="200">
        <v>0</v>
      </c>
      <c r="I295" s="496"/>
    </row>
    <row r="296" spans="1:10" ht="31.5">
      <c r="A296" s="77" t="s">
        <v>356</v>
      </c>
      <c r="B296" s="95" t="s">
        <v>117</v>
      </c>
      <c r="C296" s="95" t="s">
        <v>217</v>
      </c>
      <c r="D296" s="95" t="s">
        <v>216</v>
      </c>
      <c r="E296" s="96" t="s">
        <v>945</v>
      </c>
      <c r="F296" s="95"/>
      <c r="G296" s="202">
        <f>G297</f>
        <v>8241.33</v>
      </c>
      <c r="H296" s="202">
        <f>H297</f>
        <v>0</v>
      </c>
      <c r="I296" s="577"/>
      <c r="J296" s="85"/>
    </row>
    <row r="297" spans="1:10">
      <c r="A297" s="76" t="s">
        <v>271</v>
      </c>
      <c r="B297" s="96" t="s">
        <v>117</v>
      </c>
      <c r="C297" s="96" t="s">
        <v>217</v>
      </c>
      <c r="D297" s="96" t="s">
        <v>216</v>
      </c>
      <c r="E297" s="96" t="s">
        <v>945</v>
      </c>
      <c r="F297" s="96" t="s">
        <v>268</v>
      </c>
      <c r="G297" s="200">
        <v>8241.33</v>
      </c>
      <c r="H297" s="200">
        <v>0</v>
      </c>
      <c r="I297" s="496"/>
    </row>
    <row r="298" spans="1:10" ht="31.5">
      <c r="A298" s="77" t="s">
        <v>347</v>
      </c>
      <c r="B298" s="95" t="s">
        <v>117</v>
      </c>
      <c r="C298" s="95" t="s">
        <v>217</v>
      </c>
      <c r="D298" s="95" t="s">
        <v>216</v>
      </c>
      <c r="E298" s="96" t="s">
        <v>946</v>
      </c>
      <c r="F298" s="95"/>
      <c r="G298" s="202">
        <f>G299</f>
        <v>242687.3</v>
      </c>
      <c r="H298" s="202">
        <f>H299</f>
        <v>0</v>
      </c>
      <c r="I298" s="577"/>
      <c r="J298" s="85"/>
    </row>
    <row r="299" spans="1:10">
      <c r="A299" s="76" t="s">
        <v>271</v>
      </c>
      <c r="B299" s="96" t="s">
        <v>117</v>
      </c>
      <c r="C299" s="96" t="s">
        <v>217</v>
      </c>
      <c r="D299" s="96" t="s">
        <v>216</v>
      </c>
      <c r="E299" s="96" t="s">
        <v>946</v>
      </c>
      <c r="F299" s="96" t="s">
        <v>268</v>
      </c>
      <c r="G299" s="200">
        <f>240007.4+2679.9</f>
        <v>242687.3</v>
      </c>
      <c r="H299" s="200">
        <v>0</v>
      </c>
      <c r="I299" s="496"/>
    </row>
    <row r="300" spans="1:10">
      <c r="A300" s="77" t="s">
        <v>242</v>
      </c>
      <c r="B300" s="96" t="s">
        <v>117</v>
      </c>
      <c r="C300" s="95" t="s">
        <v>217</v>
      </c>
      <c r="D300" s="95" t="s">
        <v>216</v>
      </c>
      <c r="E300" s="96" t="s">
        <v>947</v>
      </c>
      <c r="F300" s="95"/>
      <c r="G300" s="202">
        <f>G301</f>
        <v>5692.5</v>
      </c>
      <c r="H300" s="202">
        <f>H301</f>
        <v>0</v>
      </c>
      <c r="I300" s="577"/>
      <c r="J300" s="85"/>
    </row>
    <row r="301" spans="1:10">
      <c r="A301" s="76" t="s">
        <v>271</v>
      </c>
      <c r="B301" s="96" t="s">
        <v>117</v>
      </c>
      <c r="C301" s="96" t="s">
        <v>217</v>
      </c>
      <c r="D301" s="96" t="s">
        <v>216</v>
      </c>
      <c r="E301" s="96" t="s">
        <v>947</v>
      </c>
      <c r="F301" s="96" t="s">
        <v>268</v>
      </c>
      <c r="G301" s="200">
        <v>5692.5</v>
      </c>
      <c r="H301" s="200">
        <v>0</v>
      </c>
      <c r="I301" s="496"/>
      <c r="J301" s="83"/>
    </row>
    <row r="302" spans="1:10" s="91" customFormat="1" ht="47.25">
      <c r="A302" s="76" t="s">
        <v>875</v>
      </c>
      <c r="B302" s="150" t="s">
        <v>117</v>
      </c>
      <c r="C302" s="159" t="s">
        <v>217</v>
      </c>
      <c r="D302" s="159" t="s">
        <v>216</v>
      </c>
      <c r="E302" s="150" t="s">
        <v>949</v>
      </c>
      <c r="F302" s="159"/>
      <c r="G302" s="202">
        <f>G303</f>
        <v>5940.6</v>
      </c>
      <c r="H302" s="202">
        <f>H303</f>
        <v>0</v>
      </c>
      <c r="I302" s="496"/>
    </row>
    <row r="303" spans="1:10">
      <c r="A303" s="76" t="s">
        <v>271</v>
      </c>
      <c r="B303" s="96" t="s">
        <v>117</v>
      </c>
      <c r="C303" s="96" t="s">
        <v>217</v>
      </c>
      <c r="D303" s="96" t="s">
        <v>216</v>
      </c>
      <c r="E303" s="150" t="s">
        <v>949</v>
      </c>
      <c r="F303" s="96" t="s">
        <v>268</v>
      </c>
      <c r="G303" s="200">
        <v>5940.6</v>
      </c>
      <c r="H303" s="491">
        <v>0</v>
      </c>
      <c r="I303" s="496"/>
    </row>
    <row r="304" spans="1:10" ht="47.25">
      <c r="A304" s="76" t="s">
        <v>874</v>
      </c>
      <c r="B304" s="96" t="s">
        <v>117</v>
      </c>
      <c r="C304" s="96" t="s">
        <v>217</v>
      </c>
      <c r="D304" s="96" t="s">
        <v>216</v>
      </c>
      <c r="E304" s="96" t="s">
        <v>948</v>
      </c>
      <c r="F304" s="95"/>
      <c r="G304" s="200">
        <f>G305</f>
        <v>2403.1</v>
      </c>
      <c r="H304" s="491">
        <v>0</v>
      </c>
      <c r="I304" s="496"/>
    </row>
    <row r="305" spans="1:10">
      <c r="A305" s="76" t="s">
        <v>271</v>
      </c>
      <c r="B305" s="96" t="s">
        <v>117</v>
      </c>
      <c r="C305" s="96" t="s">
        <v>217</v>
      </c>
      <c r="D305" s="96" t="s">
        <v>216</v>
      </c>
      <c r="E305" s="96" t="s">
        <v>948</v>
      </c>
      <c r="F305" s="96" t="s">
        <v>268</v>
      </c>
      <c r="G305" s="200">
        <v>2403.1</v>
      </c>
      <c r="H305" s="491">
        <v>0</v>
      </c>
      <c r="I305" s="496"/>
    </row>
    <row r="306" spans="1:10" ht="47.25">
      <c r="A306" s="170" t="s">
        <v>741</v>
      </c>
      <c r="B306" s="159" t="s">
        <v>117</v>
      </c>
      <c r="C306" s="159" t="s">
        <v>217</v>
      </c>
      <c r="D306" s="159" t="s">
        <v>216</v>
      </c>
      <c r="E306" s="96" t="s">
        <v>943</v>
      </c>
      <c r="F306" s="159"/>
      <c r="G306" s="122">
        <f>G307</f>
        <v>481.5</v>
      </c>
      <c r="H306" s="122">
        <f>H307</f>
        <v>0</v>
      </c>
      <c r="I306" s="577"/>
      <c r="J306" s="85"/>
    </row>
    <row r="307" spans="1:10">
      <c r="A307" s="76" t="s">
        <v>518</v>
      </c>
      <c r="B307" s="150" t="s">
        <v>117</v>
      </c>
      <c r="C307" s="150" t="s">
        <v>217</v>
      </c>
      <c r="D307" s="150" t="s">
        <v>216</v>
      </c>
      <c r="E307" s="96" t="s">
        <v>943</v>
      </c>
      <c r="F307" s="159" t="s">
        <v>268</v>
      </c>
      <c r="G307" s="122">
        <v>481.5</v>
      </c>
      <c r="H307" s="200">
        <v>0</v>
      </c>
      <c r="I307" s="496"/>
    </row>
    <row r="308" spans="1:10" ht="47.25">
      <c r="A308" s="76" t="s">
        <v>806</v>
      </c>
      <c r="B308" s="159" t="s">
        <v>117</v>
      </c>
      <c r="C308" s="159" t="s">
        <v>217</v>
      </c>
      <c r="D308" s="159" t="s">
        <v>216</v>
      </c>
      <c r="E308" s="96" t="s">
        <v>951</v>
      </c>
      <c r="F308" s="159"/>
      <c r="G308" s="122">
        <f>G309</f>
        <v>86078.6</v>
      </c>
      <c r="H308" s="122">
        <f>H309</f>
        <v>0</v>
      </c>
      <c r="I308" s="577"/>
      <c r="J308" s="85"/>
    </row>
    <row r="309" spans="1:10">
      <c r="A309" s="76" t="s">
        <v>518</v>
      </c>
      <c r="B309" s="150" t="s">
        <v>117</v>
      </c>
      <c r="C309" s="150" t="s">
        <v>217</v>
      </c>
      <c r="D309" s="150" t="s">
        <v>216</v>
      </c>
      <c r="E309" s="96" t="s">
        <v>951</v>
      </c>
      <c r="F309" s="159" t="s">
        <v>268</v>
      </c>
      <c r="G309" s="122">
        <v>86078.6</v>
      </c>
      <c r="H309" s="200">
        <v>0</v>
      </c>
      <c r="I309" s="496"/>
    </row>
    <row r="310" spans="1:10" ht="47.25">
      <c r="A310" s="76" t="s">
        <v>877</v>
      </c>
      <c r="B310" s="96" t="s">
        <v>117</v>
      </c>
      <c r="C310" s="96" t="s">
        <v>217</v>
      </c>
      <c r="D310" s="96" t="s">
        <v>216</v>
      </c>
      <c r="E310" s="150" t="s">
        <v>878</v>
      </c>
      <c r="F310" s="96"/>
      <c r="G310" s="149">
        <f>G311</f>
        <v>35035.199999999997</v>
      </c>
      <c r="H310" s="200">
        <v>0</v>
      </c>
      <c r="I310" s="496"/>
    </row>
    <row r="311" spans="1:10">
      <c r="A311" s="76" t="s">
        <v>271</v>
      </c>
      <c r="B311" s="96" t="s">
        <v>117</v>
      </c>
      <c r="C311" s="96" t="s">
        <v>217</v>
      </c>
      <c r="D311" s="96" t="s">
        <v>216</v>
      </c>
      <c r="E311" s="150" t="s">
        <v>878</v>
      </c>
      <c r="F311" s="96" t="s">
        <v>268</v>
      </c>
      <c r="G311" s="149">
        <f>34568.1+467.1</f>
        <v>35035.199999999997</v>
      </c>
      <c r="H311" s="200">
        <v>0</v>
      </c>
      <c r="I311" s="496" t="s">
        <v>922</v>
      </c>
    </row>
    <row r="312" spans="1:10" ht="47.25">
      <c r="A312" s="76" t="s">
        <v>1223</v>
      </c>
      <c r="B312" s="150" t="s">
        <v>117</v>
      </c>
      <c r="C312" s="150" t="s">
        <v>217</v>
      </c>
      <c r="D312" s="150" t="s">
        <v>216</v>
      </c>
      <c r="E312" s="96" t="s">
        <v>1225</v>
      </c>
      <c r="F312" s="150"/>
      <c r="G312" s="200">
        <f>G313</f>
        <v>29318.9</v>
      </c>
      <c r="H312" s="200"/>
      <c r="I312" s="496"/>
    </row>
    <row r="313" spans="1:10">
      <c r="A313" s="76" t="s">
        <v>518</v>
      </c>
      <c r="B313" s="150" t="s">
        <v>117</v>
      </c>
      <c r="C313" s="150" t="s">
        <v>217</v>
      </c>
      <c r="D313" s="150" t="s">
        <v>216</v>
      </c>
      <c r="E313" s="96" t="s">
        <v>1225</v>
      </c>
      <c r="F313" s="150" t="s">
        <v>268</v>
      </c>
      <c r="G313" s="200">
        <v>29318.9</v>
      </c>
      <c r="H313" s="200"/>
      <c r="I313" s="496"/>
    </row>
    <row r="314" spans="1:10">
      <c r="A314" s="76" t="s">
        <v>467</v>
      </c>
      <c r="B314" s="150" t="s">
        <v>117</v>
      </c>
      <c r="C314" s="150" t="s">
        <v>217</v>
      </c>
      <c r="D314" s="150" t="s">
        <v>216</v>
      </c>
      <c r="E314" s="96" t="s">
        <v>0</v>
      </c>
      <c r="F314" s="159"/>
      <c r="G314" s="122">
        <f>G315</f>
        <v>0</v>
      </c>
      <c r="H314" s="200">
        <f>H315+H317+H319+H321+H323+H325+H327+H329+H331</f>
        <v>474896.53981999995</v>
      </c>
      <c r="I314" s="496"/>
    </row>
    <row r="315" spans="1:10" ht="31.5">
      <c r="A315" s="158" t="s">
        <v>395</v>
      </c>
      <c r="B315" s="159" t="s">
        <v>117</v>
      </c>
      <c r="C315" s="159" t="s">
        <v>217</v>
      </c>
      <c r="D315" s="159" t="s">
        <v>216</v>
      </c>
      <c r="E315" s="159" t="s">
        <v>908</v>
      </c>
      <c r="F315" s="253"/>
      <c r="G315" s="202">
        <f>G316</f>
        <v>0</v>
      </c>
      <c r="H315" s="202">
        <f>H316</f>
        <v>60210.409820000001</v>
      </c>
      <c r="I315" s="496"/>
    </row>
    <row r="316" spans="1:10" ht="47.25">
      <c r="A316" s="76" t="s">
        <v>270</v>
      </c>
      <c r="B316" s="96" t="s">
        <v>117</v>
      </c>
      <c r="C316" s="96" t="s">
        <v>217</v>
      </c>
      <c r="D316" s="96" t="s">
        <v>216</v>
      </c>
      <c r="E316" s="150" t="s">
        <v>908</v>
      </c>
      <c r="F316" s="96" t="s">
        <v>420</v>
      </c>
      <c r="G316" s="200">
        <v>0</v>
      </c>
      <c r="H316" s="200">
        <f>75224.62482-15000+0.2+300-239.7+11.985-86.7</f>
        <v>60210.409820000001</v>
      </c>
      <c r="I316" s="496"/>
    </row>
    <row r="317" spans="1:10" ht="31.5">
      <c r="A317" s="77" t="s">
        <v>356</v>
      </c>
      <c r="B317" s="95" t="s">
        <v>117</v>
      </c>
      <c r="C317" s="95" t="s">
        <v>217</v>
      </c>
      <c r="D317" s="95" t="s">
        <v>216</v>
      </c>
      <c r="E317" s="96" t="s">
        <v>907</v>
      </c>
      <c r="F317" s="95"/>
      <c r="G317" s="202">
        <f>G318</f>
        <v>0</v>
      </c>
      <c r="H317" s="202">
        <f>H318</f>
        <v>8241.33</v>
      </c>
      <c r="I317" s="496"/>
    </row>
    <row r="318" spans="1:10">
      <c r="A318" s="76" t="s">
        <v>271</v>
      </c>
      <c r="B318" s="96" t="s">
        <v>117</v>
      </c>
      <c r="C318" s="96" t="s">
        <v>217</v>
      </c>
      <c r="D318" s="96" t="s">
        <v>216</v>
      </c>
      <c r="E318" s="96" t="s">
        <v>907</v>
      </c>
      <c r="F318" s="96" t="s">
        <v>268</v>
      </c>
      <c r="G318" s="200">
        <v>0</v>
      </c>
      <c r="H318" s="200">
        <v>8241.33</v>
      </c>
      <c r="I318" s="496"/>
    </row>
    <row r="319" spans="1:10" ht="31.5">
      <c r="A319" s="77" t="s">
        <v>347</v>
      </c>
      <c r="B319" s="95" t="s">
        <v>117</v>
      </c>
      <c r="C319" s="95" t="s">
        <v>217</v>
      </c>
      <c r="D319" s="95" t="s">
        <v>216</v>
      </c>
      <c r="E319" s="96" t="s">
        <v>909</v>
      </c>
      <c r="F319" s="95"/>
      <c r="G319" s="202">
        <f>G320</f>
        <v>0</v>
      </c>
      <c r="H319" s="202">
        <f>H320</f>
        <v>242687.3</v>
      </c>
      <c r="I319" s="496"/>
    </row>
    <row r="320" spans="1:10">
      <c r="A320" s="76" t="s">
        <v>271</v>
      </c>
      <c r="B320" s="96" t="s">
        <v>117</v>
      </c>
      <c r="C320" s="96" t="s">
        <v>217</v>
      </c>
      <c r="D320" s="96" t="s">
        <v>216</v>
      </c>
      <c r="E320" s="96" t="s">
        <v>909</v>
      </c>
      <c r="F320" s="96" t="s">
        <v>268</v>
      </c>
      <c r="G320" s="200">
        <v>0</v>
      </c>
      <c r="H320" s="200">
        <f>240007.4+2679.9</f>
        <v>242687.3</v>
      </c>
      <c r="I320" s="496"/>
    </row>
    <row r="321" spans="1:18">
      <c r="A321" s="77" t="s">
        <v>242</v>
      </c>
      <c r="B321" s="96" t="s">
        <v>117</v>
      </c>
      <c r="C321" s="95" t="s">
        <v>217</v>
      </c>
      <c r="D321" s="95" t="s">
        <v>216</v>
      </c>
      <c r="E321" s="96" t="s">
        <v>910</v>
      </c>
      <c r="F321" s="95"/>
      <c r="G321" s="202">
        <f>G322</f>
        <v>0</v>
      </c>
      <c r="H321" s="202">
        <f>H322</f>
        <v>5670.7</v>
      </c>
      <c r="I321" s="496"/>
    </row>
    <row r="322" spans="1:18">
      <c r="A322" s="76" t="s">
        <v>271</v>
      </c>
      <c r="B322" s="96" t="s">
        <v>117</v>
      </c>
      <c r="C322" s="96" t="s">
        <v>217</v>
      </c>
      <c r="D322" s="96" t="s">
        <v>216</v>
      </c>
      <c r="E322" s="96" t="s">
        <v>910</v>
      </c>
      <c r="F322" s="96" t="s">
        <v>268</v>
      </c>
      <c r="G322" s="200">
        <v>0</v>
      </c>
      <c r="H322" s="200">
        <v>5670.7</v>
      </c>
      <c r="I322" s="496"/>
    </row>
    <row r="323" spans="1:18" ht="47.25">
      <c r="A323" s="76" t="s">
        <v>875</v>
      </c>
      <c r="B323" s="150" t="s">
        <v>117</v>
      </c>
      <c r="C323" s="159" t="s">
        <v>217</v>
      </c>
      <c r="D323" s="159" t="s">
        <v>216</v>
      </c>
      <c r="E323" s="150" t="s">
        <v>911</v>
      </c>
      <c r="F323" s="159"/>
      <c r="G323" s="202">
        <f>G324</f>
        <v>0</v>
      </c>
      <c r="H323" s="202">
        <f>H324</f>
        <v>5940.6</v>
      </c>
      <c r="I323" s="496"/>
    </row>
    <row r="324" spans="1:18">
      <c r="A324" s="76" t="s">
        <v>271</v>
      </c>
      <c r="B324" s="96" t="s">
        <v>117</v>
      </c>
      <c r="C324" s="96" t="s">
        <v>217</v>
      </c>
      <c r="D324" s="96" t="s">
        <v>216</v>
      </c>
      <c r="E324" s="150" t="s">
        <v>911</v>
      </c>
      <c r="F324" s="96" t="s">
        <v>268</v>
      </c>
      <c r="G324" s="200">
        <v>0</v>
      </c>
      <c r="H324" s="200">
        <v>5940.6</v>
      </c>
      <c r="I324" s="496"/>
    </row>
    <row r="325" spans="1:18" ht="47.25">
      <c r="A325" s="76" t="s">
        <v>874</v>
      </c>
      <c r="B325" s="96" t="s">
        <v>117</v>
      </c>
      <c r="C325" s="96" t="s">
        <v>217</v>
      </c>
      <c r="D325" s="96" t="s">
        <v>216</v>
      </c>
      <c r="E325" s="96" t="s">
        <v>912</v>
      </c>
      <c r="F325" s="95"/>
      <c r="G325" s="200">
        <f>G326</f>
        <v>0</v>
      </c>
      <c r="H325" s="200">
        <f>H326</f>
        <v>2403.1</v>
      </c>
      <c r="I325" s="496"/>
    </row>
    <row r="326" spans="1:18">
      <c r="A326" s="76" t="s">
        <v>271</v>
      </c>
      <c r="B326" s="96" t="s">
        <v>117</v>
      </c>
      <c r="C326" s="96" t="s">
        <v>217</v>
      </c>
      <c r="D326" s="96" t="s">
        <v>216</v>
      </c>
      <c r="E326" s="96" t="s">
        <v>912</v>
      </c>
      <c r="F326" s="96" t="s">
        <v>268</v>
      </c>
      <c r="G326" s="200">
        <v>0</v>
      </c>
      <c r="H326" s="200">
        <v>2403.1</v>
      </c>
      <c r="I326" s="496"/>
    </row>
    <row r="327" spans="1:18" ht="47.25">
      <c r="A327" s="76" t="s">
        <v>806</v>
      </c>
      <c r="B327" s="159" t="s">
        <v>117</v>
      </c>
      <c r="C327" s="159" t="s">
        <v>217</v>
      </c>
      <c r="D327" s="159" t="s">
        <v>216</v>
      </c>
      <c r="E327" s="96" t="s">
        <v>913</v>
      </c>
      <c r="F327" s="159"/>
      <c r="G327" s="149">
        <f>G328</f>
        <v>0</v>
      </c>
      <c r="H327" s="149">
        <f>H328</f>
        <v>86078.6</v>
      </c>
      <c r="I327" s="496"/>
    </row>
    <row r="328" spans="1:18">
      <c r="A328" s="76" t="s">
        <v>518</v>
      </c>
      <c r="B328" s="150" t="s">
        <v>117</v>
      </c>
      <c r="C328" s="150" t="s">
        <v>217</v>
      </c>
      <c r="D328" s="150" t="s">
        <v>216</v>
      </c>
      <c r="E328" s="96" t="s">
        <v>913</v>
      </c>
      <c r="F328" s="159" t="s">
        <v>268</v>
      </c>
      <c r="G328" s="149">
        <v>0</v>
      </c>
      <c r="H328" s="149">
        <v>86078.6</v>
      </c>
      <c r="I328" s="496"/>
    </row>
    <row r="329" spans="1:18" ht="47.25">
      <c r="A329" s="76" t="s">
        <v>1223</v>
      </c>
      <c r="B329" s="150" t="s">
        <v>117</v>
      </c>
      <c r="C329" s="150" t="s">
        <v>217</v>
      </c>
      <c r="D329" s="150" t="s">
        <v>216</v>
      </c>
      <c r="E329" s="96" t="s">
        <v>1225</v>
      </c>
      <c r="F329" s="150"/>
      <c r="G329" s="200">
        <f>G330</f>
        <v>0</v>
      </c>
      <c r="H329" s="149">
        <f>H330</f>
        <v>28629.3</v>
      </c>
      <c r="I329" s="496"/>
    </row>
    <row r="330" spans="1:18">
      <c r="A330" s="76" t="s">
        <v>518</v>
      </c>
      <c r="B330" s="150" t="s">
        <v>117</v>
      </c>
      <c r="C330" s="150" t="s">
        <v>217</v>
      </c>
      <c r="D330" s="150" t="s">
        <v>216</v>
      </c>
      <c r="E330" s="96" t="s">
        <v>1225</v>
      </c>
      <c r="F330" s="150" t="s">
        <v>268</v>
      </c>
      <c r="G330" s="200">
        <v>0</v>
      </c>
      <c r="H330" s="149">
        <v>28629.3</v>
      </c>
      <c r="I330" s="496"/>
    </row>
    <row r="331" spans="1:18" ht="47.25">
      <c r="A331" s="76" t="s">
        <v>877</v>
      </c>
      <c r="B331" s="96" t="s">
        <v>117</v>
      </c>
      <c r="C331" s="96" t="s">
        <v>217</v>
      </c>
      <c r="D331" s="96" t="s">
        <v>216</v>
      </c>
      <c r="E331" s="150" t="s">
        <v>878</v>
      </c>
      <c r="F331" s="96"/>
      <c r="G331" s="149">
        <f>G332</f>
        <v>0</v>
      </c>
      <c r="H331" s="200">
        <f>H332</f>
        <v>35035.199999999997</v>
      </c>
      <c r="I331" s="496"/>
    </row>
    <row r="332" spans="1:18">
      <c r="A332" s="76" t="s">
        <v>271</v>
      </c>
      <c r="B332" s="96" t="s">
        <v>117</v>
      </c>
      <c r="C332" s="96" t="s">
        <v>217</v>
      </c>
      <c r="D332" s="96" t="s">
        <v>216</v>
      </c>
      <c r="E332" s="150" t="s">
        <v>878</v>
      </c>
      <c r="F332" s="96" t="s">
        <v>268</v>
      </c>
      <c r="G332" s="149">
        <v>0</v>
      </c>
      <c r="H332" s="200">
        <v>35035.199999999997</v>
      </c>
      <c r="I332" s="496"/>
    </row>
    <row r="333" spans="1:18" s="203" customFormat="1">
      <c r="A333" s="339" t="s">
        <v>477</v>
      </c>
      <c r="B333" s="341" t="s">
        <v>117</v>
      </c>
      <c r="C333" s="341" t="s">
        <v>217</v>
      </c>
      <c r="D333" s="341" t="s">
        <v>218</v>
      </c>
      <c r="E333" s="341"/>
      <c r="F333" s="341"/>
      <c r="G333" s="123">
        <f>G334+G345</f>
        <v>19095.522000000001</v>
      </c>
      <c r="H333" s="123">
        <f>H334+H345</f>
        <v>19095.522000000001</v>
      </c>
      <c r="I333" s="496"/>
      <c r="L333" s="204"/>
      <c r="M333" s="204"/>
      <c r="N333" s="204"/>
      <c r="O333" s="204"/>
      <c r="P333" s="204"/>
      <c r="Q333" s="204"/>
      <c r="R333" s="204"/>
    </row>
    <row r="334" spans="1:18" s="203" customFormat="1" ht="63" customHeight="1">
      <c r="A334" s="174" t="s">
        <v>776</v>
      </c>
      <c r="B334" s="150" t="s">
        <v>117</v>
      </c>
      <c r="C334" s="185" t="s">
        <v>217</v>
      </c>
      <c r="D334" s="185" t="s">
        <v>218</v>
      </c>
      <c r="E334" s="185" t="s">
        <v>940</v>
      </c>
      <c r="F334" s="185"/>
      <c r="G334" s="194">
        <f t="shared" ref="G334:H334" si="14">G335</f>
        <v>19095.522000000001</v>
      </c>
      <c r="H334" s="194">
        <f t="shared" si="14"/>
        <v>0</v>
      </c>
      <c r="I334" s="496"/>
      <c r="L334" s="204"/>
      <c r="M334" s="204"/>
      <c r="N334" s="204"/>
      <c r="O334" s="204"/>
      <c r="P334" s="204"/>
      <c r="Q334" s="204"/>
      <c r="R334" s="204"/>
    </row>
    <row r="335" spans="1:18" s="203" customFormat="1" ht="46.5" customHeight="1">
      <c r="A335" s="179" t="s">
        <v>456</v>
      </c>
      <c r="B335" s="150" t="s">
        <v>117</v>
      </c>
      <c r="C335" s="187" t="s">
        <v>217</v>
      </c>
      <c r="D335" s="187" t="s">
        <v>218</v>
      </c>
      <c r="E335" s="187" t="s">
        <v>953</v>
      </c>
      <c r="F335" s="187"/>
      <c r="G335" s="195">
        <f>G337+G339+G341+G343</f>
        <v>19095.522000000001</v>
      </c>
      <c r="H335" s="195">
        <f>H337+H339</f>
        <v>0</v>
      </c>
      <c r="I335" s="496"/>
      <c r="L335" s="204"/>
      <c r="M335" s="204"/>
      <c r="N335" s="204"/>
      <c r="O335" s="204"/>
      <c r="P335" s="204"/>
      <c r="Q335" s="204"/>
      <c r="R335" s="204"/>
    </row>
    <row r="336" spans="1:18" s="203" customFormat="1" ht="46.5" customHeight="1">
      <c r="A336" s="179" t="s">
        <v>954</v>
      </c>
      <c r="B336" s="150" t="s">
        <v>117</v>
      </c>
      <c r="C336" s="187" t="s">
        <v>217</v>
      </c>
      <c r="D336" s="187" t="s">
        <v>218</v>
      </c>
      <c r="E336" s="187" t="s">
        <v>955</v>
      </c>
      <c r="F336" s="187"/>
      <c r="G336" s="195">
        <f>G337+G339+G341+G343</f>
        <v>19095.522000000001</v>
      </c>
      <c r="H336" s="195">
        <f>H337</f>
        <v>0</v>
      </c>
      <c r="I336" s="496"/>
      <c r="L336" s="204"/>
      <c r="M336" s="204"/>
      <c r="N336" s="204"/>
      <c r="O336" s="204"/>
      <c r="P336" s="204"/>
      <c r="Q336" s="204"/>
      <c r="R336" s="204"/>
    </row>
    <row r="337" spans="1:18" s="203" customFormat="1" ht="31.5">
      <c r="A337" s="158" t="s">
        <v>395</v>
      </c>
      <c r="B337" s="191">
        <v>936</v>
      </c>
      <c r="C337" s="159" t="s">
        <v>217</v>
      </c>
      <c r="D337" s="159" t="s">
        <v>218</v>
      </c>
      <c r="E337" s="150" t="s">
        <v>957</v>
      </c>
      <c r="F337" s="159"/>
      <c r="G337" s="149">
        <f>G338</f>
        <v>3117.1419999999998</v>
      </c>
      <c r="H337" s="149">
        <f>H338</f>
        <v>0</v>
      </c>
      <c r="I337" s="496"/>
      <c r="L337" s="204"/>
      <c r="M337" s="204"/>
      <c r="N337" s="204"/>
      <c r="O337" s="204"/>
      <c r="P337" s="204"/>
      <c r="Q337" s="204"/>
      <c r="R337" s="204"/>
    </row>
    <row r="338" spans="1:18" s="203" customFormat="1" ht="32.25" customHeight="1">
      <c r="A338" s="76" t="s">
        <v>270</v>
      </c>
      <c r="B338" s="96" t="s">
        <v>117</v>
      </c>
      <c r="C338" s="96" t="s">
        <v>217</v>
      </c>
      <c r="D338" s="96" t="s">
        <v>218</v>
      </c>
      <c r="E338" s="150" t="s">
        <v>957</v>
      </c>
      <c r="F338" s="96" t="s">
        <v>420</v>
      </c>
      <c r="G338" s="149">
        <v>3117.1419999999998</v>
      </c>
      <c r="H338" s="149">
        <v>0</v>
      </c>
      <c r="I338" s="496"/>
      <c r="L338" s="204"/>
      <c r="M338" s="204"/>
      <c r="N338" s="204"/>
      <c r="O338" s="204"/>
      <c r="P338" s="204"/>
      <c r="Q338" s="204"/>
      <c r="R338" s="204"/>
    </row>
    <row r="339" spans="1:18" s="203" customFormat="1" ht="32.25" customHeight="1">
      <c r="A339" s="152" t="s">
        <v>187</v>
      </c>
      <c r="B339" s="150" t="s">
        <v>117</v>
      </c>
      <c r="C339" s="159" t="s">
        <v>217</v>
      </c>
      <c r="D339" s="159" t="s">
        <v>218</v>
      </c>
      <c r="E339" s="150" t="s">
        <v>956</v>
      </c>
      <c r="F339" s="159"/>
      <c r="G339" s="149">
        <f>G340</f>
        <v>9737.2000000000007</v>
      </c>
      <c r="H339" s="149">
        <f>H340</f>
        <v>0</v>
      </c>
      <c r="I339" s="577"/>
      <c r="J339" s="206"/>
      <c r="L339" s="204"/>
      <c r="M339" s="204"/>
      <c r="N339" s="204"/>
      <c r="O339" s="204"/>
      <c r="P339" s="204"/>
      <c r="Q339" s="204"/>
      <c r="R339" s="204"/>
    </row>
    <row r="340" spans="1:18" s="203" customFormat="1" ht="32.25" customHeight="1">
      <c r="A340" s="170" t="s">
        <v>271</v>
      </c>
      <c r="B340" s="150" t="s">
        <v>117</v>
      </c>
      <c r="C340" s="150" t="s">
        <v>217</v>
      </c>
      <c r="D340" s="150" t="s">
        <v>218</v>
      </c>
      <c r="E340" s="150" t="s">
        <v>956</v>
      </c>
      <c r="F340" s="150" t="s">
        <v>268</v>
      </c>
      <c r="G340" s="149">
        <v>9737.2000000000007</v>
      </c>
      <c r="H340" s="149">
        <f>H341</f>
        <v>0</v>
      </c>
      <c r="I340" s="496"/>
      <c r="L340" s="204"/>
      <c r="M340" s="204"/>
      <c r="N340" s="204"/>
      <c r="O340" s="204"/>
      <c r="P340" s="204"/>
      <c r="Q340" s="204"/>
      <c r="R340" s="204"/>
    </row>
    <row r="341" spans="1:18" s="203" customFormat="1" ht="32.25" customHeight="1">
      <c r="A341" s="152" t="s">
        <v>732</v>
      </c>
      <c r="B341" s="150" t="s">
        <v>117</v>
      </c>
      <c r="C341" s="159" t="s">
        <v>217</v>
      </c>
      <c r="D341" s="159" t="s">
        <v>218</v>
      </c>
      <c r="E341" s="150" t="s">
        <v>956</v>
      </c>
      <c r="F341" s="159"/>
      <c r="G341" s="149">
        <f>G342</f>
        <v>6241.18</v>
      </c>
      <c r="H341" s="149">
        <f>H342</f>
        <v>0</v>
      </c>
      <c r="I341" s="496"/>
      <c r="L341" s="204"/>
      <c r="M341" s="204"/>
      <c r="N341" s="204"/>
      <c r="O341" s="204"/>
      <c r="P341" s="204"/>
      <c r="Q341" s="204"/>
      <c r="R341" s="204"/>
    </row>
    <row r="342" spans="1:18" s="203" customFormat="1" ht="32.25" customHeight="1">
      <c r="A342" s="170" t="s">
        <v>271</v>
      </c>
      <c r="B342" s="150" t="s">
        <v>117</v>
      </c>
      <c r="C342" s="150" t="s">
        <v>217</v>
      </c>
      <c r="D342" s="150" t="s">
        <v>218</v>
      </c>
      <c r="E342" s="150" t="s">
        <v>956</v>
      </c>
      <c r="F342" s="150" t="s">
        <v>268</v>
      </c>
      <c r="G342" s="149">
        <v>6241.18</v>
      </c>
      <c r="H342" s="149">
        <v>0</v>
      </c>
      <c r="I342" s="496"/>
      <c r="L342" s="204"/>
      <c r="M342" s="204"/>
      <c r="N342" s="204"/>
      <c r="O342" s="204"/>
      <c r="P342" s="204"/>
      <c r="Q342" s="204"/>
      <c r="R342" s="204"/>
    </row>
    <row r="343" spans="1:18" s="203" customFormat="1" ht="32.25" hidden="1" customHeight="1">
      <c r="A343" s="170" t="s">
        <v>797</v>
      </c>
      <c r="B343" s="150" t="s">
        <v>117</v>
      </c>
      <c r="C343" s="150" t="s">
        <v>217</v>
      </c>
      <c r="D343" s="150" t="s">
        <v>218</v>
      </c>
      <c r="E343" s="150" t="s">
        <v>958</v>
      </c>
      <c r="F343" s="150"/>
      <c r="G343" s="149">
        <f>G344</f>
        <v>0</v>
      </c>
      <c r="H343" s="149">
        <f>H344</f>
        <v>0</v>
      </c>
      <c r="I343" s="496"/>
      <c r="L343" s="204"/>
      <c r="M343" s="204"/>
      <c r="N343" s="204"/>
      <c r="O343" s="204"/>
      <c r="P343" s="204"/>
      <c r="Q343" s="204"/>
      <c r="R343" s="204"/>
    </row>
    <row r="344" spans="1:18" s="203" customFormat="1" ht="32.25" hidden="1" customHeight="1">
      <c r="A344" s="170" t="s">
        <v>271</v>
      </c>
      <c r="B344" s="150" t="s">
        <v>117</v>
      </c>
      <c r="C344" s="150" t="s">
        <v>217</v>
      </c>
      <c r="D344" s="150" t="s">
        <v>218</v>
      </c>
      <c r="E344" s="150" t="s">
        <v>958</v>
      </c>
      <c r="F344" s="150" t="s">
        <v>268</v>
      </c>
      <c r="G344" s="149">
        <v>0</v>
      </c>
      <c r="H344" s="149">
        <v>0</v>
      </c>
      <c r="I344" s="496"/>
      <c r="L344" s="204"/>
      <c r="M344" s="204"/>
      <c r="N344" s="204"/>
      <c r="O344" s="204"/>
      <c r="P344" s="204"/>
      <c r="Q344" s="204"/>
      <c r="R344" s="204"/>
    </row>
    <row r="345" spans="1:18" s="203" customFormat="1" ht="32.25" customHeight="1">
      <c r="A345" s="170" t="s">
        <v>467</v>
      </c>
      <c r="B345" s="150" t="s">
        <v>117</v>
      </c>
      <c r="C345" s="150" t="s">
        <v>217</v>
      </c>
      <c r="D345" s="150" t="s">
        <v>218</v>
      </c>
      <c r="E345" s="150" t="s">
        <v>914</v>
      </c>
      <c r="F345" s="150"/>
      <c r="G345" s="149">
        <f>G346</f>
        <v>0</v>
      </c>
      <c r="H345" s="149">
        <f>H346+H348+H350+H352</f>
        <v>19095.522000000001</v>
      </c>
      <c r="I345" s="496"/>
      <c r="L345" s="204"/>
      <c r="M345" s="204"/>
      <c r="N345" s="204"/>
      <c r="O345" s="204"/>
      <c r="P345" s="204"/>
      <c r="Q345" s="204"/>
      <c r="R345" s="204"/>
    </row>
    <row r="346" spans="1:18" s="203" customFormat="1" ht="32.25" customHeight="1">
      <c r="A346" s="158" t="s">
        <v>395</v>
      </c>
      <c r="B346" s="191">
        <v>936</v>
      </c>
      <c r="C346" s="159" t="s">
        <v>217</v>
      </c>
      <c r="D346" s="159" t="s">
        <v>218</v>
      </c>
      <c r="E346" s="150" t="s">
        <v>552</v>
      </c>
      <c r="F346" s="159"/>
      <c r="G346" s="149">
        <f>G347</f>
        <v>0</v>
      </c>
      <c r="H346" s="149">
        <f>H347</f>
        <v>3117.1419999999998</v>
      </c>
      <c r="I346" s="496"/>
      <c r="L346" s="204"/>
      <c r="M346" s="204"/>
      <c r="N346" s="204"/>
      <c r="O346" s="204"/>
      <c r="P346" s="204"/>
      <c r="Q346" s="204"/>
      <c r="R346" s="204"/>
    </row>
    <row r="347" spans="1:18" s="203" customFormat="1" ht="32.25" customHeight="1">
      <c r="A347" s="76" t="s">
        <v>270</v>
      </c>
      <c r="B347" s="96" t="s">
        <v>117</v>
      </c>
      <c r="C347" s="96" t="s">
        <v>217</v>
      </c>
      <c r="D347" s="96" t="s">
        <v>218</v>
      </c>
      <c r="E347" s="150" t="s">
        <v>552</v>
      </c>
      <c r="F347" s="96" t="s">
        <v>420</v>
      </c>
      <c r="G347" s="149">
        <v>0</v>
      </c>
      <c r="H347" s="149">
        <v>3117.1419999999998</v>
      </c>
      <c r="I347" s="496"/>
      <c r="L347" s="204"/>
      <c r="M347" s="204"/>
      <c r="N347" s="204"/>
      <c r="O347" s="204"/>
      <c r="P347" s="204"/>
      <c r="Q347" s="204"/>
      <c r="R347" s="204"/>
    </row>
    <row r="348" spans="1:18" s="203" customFormat="1" ht="32.25" customHeight="1">
      <c r="A348" s="152" t="s">
        <v>187</v>
      </c>
      <c r="B348" s="150" t="s">
        <v>117</v>
      </c>
      <c r="C348" s="159" t="s">
        <v>217</v>
      </c>
      <c r="D348" s="159" t="s">
        <v>218</v>
      </c>
      <c r="E348" s="150" t="s">
        <v>731</v>
      </c>
      <c r="F348" s="159"/>
      <c r="G348" s="149">
        <f>G349</f>
        <v>0</v>
      </c>
      <c r="H348" s="149">
        <f>H349</f>
        <v>9737.2000000000007</v>
      </c>
      <c r="I348" s="496"/>
      <c r="L348" s="204"/>
      <c r="M348" s="204"/>
      <c r="N348" s="204"/>
      <c r="O348" s="204"/>
      <c r="P348" s="204"/>
      <c r="Q348" s="204"/>
      <c r="R348" s="204"/>
    </row>
    <row r="349" spans="1:18" s="203" customFormat="1" ht="32.25" customHeight="1">
      <c r="A349" s="170" t="s">
        <v>271</v>
      </c>
      <c r="B349" s="150" t="s">
        <v>117</v>
      </c>
      <c r="C349" s="150" t="s">
        <v>217</v>
      </c>
      <c r="D349" s="150" t="s">
        <v>218</v>
      </c>
      <c r="E349" s="150" t="s">
        <v>731</v>
      </c>
      <c r="F349" s="150" t="s">
        <v>268</v>
      </c>
      <c r="G349" s="149">
        <v>0</v>
      </c>
      <c r="H349" s="149">
        <v>9737.2000000000007</v>
      </c>
      <c r="I349" s="496"/>
      <c r="L349" s="204"/>
      <c r="M349" s="204"/>
      <c r="N349" s="204"/>
      <c r="O349" s="204"/>
      <c r="P349" s="204"/>
      <c r="Q349" s="204"/>
      <c r="R349" s="204"/>
    </row>
    <row r="350" spans="1:18" s="203" customFormat="1" ht="32.25" customHeight="1">
      <c r="A350" s="152" t="s">
        <v>732</v>
      </c>
      <c r="B350" s="150" t="s">
        <v>117</v>
      </c>
      <c r="C350" s="159" t="s">
        <v>217</v>
      </c>
      <c r="D350" s="159" t="s">
        <v>218</v>
      </c>
      <c r="E350" s="150" t="s">
        <v>731</v>
      </c>
      <c r="F350" s="159"/>
      <c r="G350" s="149">
        <f>G351</f>
        <v>0</v>
      </c>
      <c r="H350" s="149">
        <f>H351</f>
        <v>6241.18</v>
      </c>
      <c r="I350" s="496"/>
      <c r="L350" s="204"/>
      <c r="M350" s="204"/>
      <c r="N350" s="204"/>
      <c r="O350" s="204"/>
      <c r="P350" s="204"/>
      <c r="Q350" s="204"/>
      <c r="R350" s="204"/>
    </row>
    <row r="351" spans="1:18" s="203" customFormat="1" ht="32.25" customHeight="1">
      <c r="A351" s="170" t="s">
        <v>271</v>
      </c>
      <c r="B351" s="150" t="s">
        <v>117</v>
      </c>
      <c r="C351" s="150" t="s">
        <v>217</v>
      </c>
      <c r="D351" s="150" t="s">
        <v>218</v>
      </c>
      <c r="E351" s="150" t="s">
        <v>731</v>
      </c>
      <c r="F351" s="150" t="s">
        <v>268</v>
      </c>
      <c r="G351" s="149">
        <v>0</v>
      </c>
      <c r="H351" s="149">
        <v>6241.18</v>
      </c>
      <c r="I351" s="496"/>
      <c r="L351" s="204"/>
      <c r="M351" s="204"/>
      <c r="N351" s="204"/>
      <c r="O351" s="204"/>
      <c r="P351" s="204"/>
      <c r="Q351" s="204"/>
      <c r="R351" s="204"/>
    </row>
    <row r="352" spans="1:18" s="203" customFormat="1" ht="32.25" hidden="1" customHeight="1">
      <c r="A352" s="170" t="s">
        <v>797</v>
      </c>
      <c r="B352" s="150" t="s">
        <v>117</v>
      </c>
      <c r="C352" s="150" t="s">
        <v>217</v>
      </c>
      <c r="D352" s="150" t="s">
        <v>218</v>
      </c>
      <c r="E352" s="150" t="s">
        <v>817</v>
      </c>
      <c r="F352" s="150"/>
      <c r="G352" s="149">
        <f>G353</f>
        <v>0</v>
      </c>
      <c r="H352" s="149">
        <f>H353</f>
        <v>0</v>
      </c>
      <c r="I352" s="496"/>
      <c r="L352" s="204"/>
      <c r="M352" s="204"/>
      <c r="N352" s="204"/>
      <c r="O352" s="204"/>
      <c r="P352" s="204"/>
      <c r="Q352" s="204"/>
      <c r="R352" s="204"/>
    </row>
    <row r="353" spans="1:18" s="203" customFormat="1" ht="32.25" hidden="1" customHeight="1">
      <c r="A353" s="170" t="s">
        <v>271</v>
      </c>
      <c r="B353" s="150" t="s">
        <v>117</v>
      </c>
      <c r="C353" s="150" t="s">
        <v>217</v>
      </c>
      <c r="D353" s="150" t="s">
        <v>218</v>
      </c>
      <c r="E353" s="150" t="s">
        <v>817</v>
      </c>
      <c r="F353" s="150" t="s">
        <v>268</v>
      </c>
      <c r="G353" s="149">
        <v>0</v>
      </c>
      <c r="H353" s="149">
        <v>0</v>
      </c>
      <c r="I353" s="496"/>
      <c r="L353" s="204"/>
      <c r="M353" s="204"/>
      <c r="N353" s="204"/>
      <c r="O353" s="204"/>
      <c r="P353" s="204"/>
      <c r="Q353" s="204"/>
      <c r="R353" s="204"/>
    </row>
    <row r="354" spans="1:18">
      <c r="A354" s="342" t="s">
        <v>401</v>
      </c>
      <c r="B354" s="253" t="s">
        <v>117</v>
      </c>
      <c r="C354" s="253" t="s">
        <v>217</v>
      </c>
      <c r="D354" s="253" t="s">
        <v>217</v>
      </c>
      <c r="E354" s="341"/>
      <c r="F354" s="253"/>
      <c r="G354" s="343">
        <f>G355</f>
        <v>8483.8340000000007</v>
      </c>
      <c r="H354" s="343">
        <f>H355+H367</f>
        <v>8483.8340000000007</v>
      </c>
      <c r="I354" s="496"/>
    </row>
    <row r="355" spans="1:18" ht="31.5">
      <c r="A355" s="174" t="s">
        <v>776</v>
      </c>
      <c r="B355" s="150" t="s">
        <v>117</v>
      </c>
      <c r="C355" s="185" t="s">
        <v>217</v>
      </c>
      <c r="D355" s="185" t="s">
        <v>217</v>
      </c>
      <c r="E355" s="185" t="s">
        <v>940</v>
      </c>
      <c r="F355" s="185"/>
      <c r="G355" s="149">
        <f>G356</f>
        <v>8483.8340000000007</v>
      </c>
      <c r="H355" s="149">
        <f>H356</f>
        <v>0</v>
      </c>
      <c r="I355" s="496"/>
    </row>
    <row r="356" spans="1:18" ht="31.5">
      <c r="A356" s="179" t="s">
        <v>455</v>
      </c>
      <c r="B356" s="150" t="s">
        <v>117</v>
      </c>
      <c r="C356" s="181" t="s">
        <v>217</v>
      </c>
      <c r="D356" s="181" t="s">
        <v>217</v>
      </c>
      <c r="E356" s="181" t="s">
        <v>959</v>
      </c>
      <c r="F356" s="181"/>
      <c r="G356" s="149">
        <f>G357</f>
        <v>8483.8340000000007</v>
      </c>
      <c r="H356" s="149">
        <f>H357+H359+H361+H363</f>
        <v>0</v>
      </c>
      <c r="I356" s="496"/>
    </row>
    <row r="357" spans="1:18" ht="31.5">
      <c r="A357" s="179" t="s">
        <v>952</v>
      </c>
      <c r="B357" s="150" t="s">
        <v>117</v>
      </c>
      <c r="C357" s="181" t="s">
        <v>217</v>
      </c>
      <c r="D357" s="181" t="s">
        <v>217</v>
      </c>
      <c r="E357" s="181" t="s">
        <v>960</v>
      </c>
      <c r="F357" s="96"/>
      <c r="G357" s="109">
        <f>G358+G359+G362+G363</f>
        <v>8483.8340000000007</v>
      </c>
      <c r="H357" s="109">
        <f>H358+H359+H362+H363</f>
        <v>0</v>
      </c>
      <c r="I357" s="496"/>
    </row>
    <row r="358" spans="1:18" ht="47.25">
      <c r="A358" s="76" t="s">
        <v>349</v>
      </c>
      <c r="B358" s="96" t="s">
        <v>117</v>
      </c>
      <c r="C358" s="96" t="s">
        <v>217</v>
      </c>
      <c r="D358" s="96" t="s">
        <v>217</v>
      </c>
      <c r="E358" s="205" t="s">
        <v>555</v>
      </c>
      <c r="F358" s="96" t="s">
        <v>421</v>
      </c>
      <c r="G358" s="109">
        <v>1058.434</v>
      </c>
      <c r="H358" s="109">
        <v>0</v>
      </c>
      <c r="I358" s="496"/>
    </row>
    <row r="359" spans="1:18" ht="126">
      <c r="A359" s="77" t="s">
        <v>743</v>
      </c>
      <c r="B359" s="96" t="s">
        <v>117</v>
      </c>
      <c r="C359" s="95" t="s">
        <v>217</v>
      </c>
      <c r="D359" s="95" t="s">
        <v>217</v>
      </c>
      <c r="E359" s="96" t="s">
        <v>962</v>
      </c>
      <c r="F359" s="95"/>
      <c r="G359" s="108">
        <f>G360</f>
        <v>3655</v>
      </c>
      <c r="H359" s="108">
        <f>H360</f>
        <v>0</v>
      </c>
      <c r="I359" s="577"/>
      <c r="J359" s="85"/>
    </row>
    <row r="360" spans="1:18" ht="31.5">
      <c r="A360" s="77" t="s">
        <v>447</v>
      </c>
      <c r="B360" s="96" t="s">
        <v>117</v>
      </c>
      <c r="C360" s="96" t="s">
        <v>217</v>
      </c>
      <c r="D360" s="96" t="s">
        <v>217</v>
      </c>
      <c r="E360" s="96" t="s">
        <v>962</v>
      </c>
      <c r="F360" s="96" t="s">
        <v>354</v>
      </c>
      <c r="G360" s="109">
        <v>3655</v>
      </c>
      <c r="H360" s="109">
        <v>0</v>
      </c>
      <c r="I360" s="496"/>
    </row>
    <row r="361" spans="1:18" ht="31.5">
      <c r="A361" s="77" t="s">
        <v>915</v>
      </c>
      <c r="B361" s="95" t="s">
        <v>117</v>
      </c>
      <c r="C361" s="95" t="s">
        <v>217</v>
      </c>
      <c r="D361" s="95" t="s">
        <v>217</v>
      </c>
      <c r="E361" s="95" t="s">
        <v>963</v>
      </c>
      <c r="F361" s="95"/>
      <c r="G361" s="108">
        <f>G362</f>
        <v>3714.7</v>
      </c>
      <c r="H361" s="108">
        <f>H362</f>
        <v>0</v>
      </c>
      <c r="I361" s="577"/>
      <c r="J361" s="85"/>
    </row>
    <row r="362" spans="1:18" ht="31.5">
      <c r="A362" s="77" t="s">
        <v>447</v>
      </c>
      <c r="B362" s="96" t="s">
        <v>117</v>
      </c>
      <c r="C362" s="96" t="s">
        <v>217</v>
      </c>
      <c r="D362" s="96" t="s">
        <v>217</v>
      </c>
      <c r="E362" s="96" t="s">
        <v>963</v>
      </c>
      <c r="F362" s="96" t="s">
        <v>354</v>
      </c>
      <c r="G362" s="109">
        <v>3714.7</v>
      </c>
      <c r="H362" s="109">
        <v>0</v>
      </c>
      <c r="I362" s="496"/>
    </row>
    <row r="363" spans="1:18" ht="47.25">
      <c r="A363" s="76" t="s">
        <v>916</v>
      </c>
      <c r="B363" s="95" t="s">
        <v>117</v>
      </c>
      <c r="C363" s="95" t="s">
        <v>217</v>
      </c>
      <c r="D363" s="95" t="s">
        <v>217</v>
      </c>
      <c r="E363" s="96" t="s">
        <v>964</v>
      </c>
      <c r="F363" s="95"/>
      <c r="G363" s="109">
        <f>G364+G365+G366</f>
        <v>55.7</v>
      </c>
      <c r="H363" s="109">
        <f>H364+H365+H366</f>
        <v>0</v>
      </c>
      <c r="I363" s="577"/>
      <c r="J363" s="85"/>
    </row>
    <row r="364" spans="1:18" s="203" customFormat="1" ht="19.5" customHeight="1">
      <c r="A364" s="76" t="s">
        <v>429</v>
      </c>
      <c r="B364" s="96" t="s">
        <v>117</v>
      </c>
      <c r="C364" s="96" t="s">
        <v>217</v>
      </c>
      <c r="D364" s="96" t="s">
        <v>217</v>
      </c>
      <c r="E364" s="96" t="s">
        <v>964</v>
      </c>
      <c r="F364" s="96" t="s">
        <v>438</v>
      </c>
      <c r="G364" s="109">
        <v>32.649000000000001</v>
      </c>
      <c r="H364" s="109">
        <v>0</v>
      </c>
      <c r="I364" s="496"/>
    </row>
    <row r="365" spans="1:18" ht="49.5" customHeight="1">
      <c r="A365" s="196" t="s">
        <v>430</v>
      </c>
      <c r="B365" s="96" t="s">
        <v>117</v>
      </c>
      <c r="C365" s="96" t="s">
        <v>217</v>
      </c>
      <c r="D365" s="96" t="s">
        <v>217</v>
      </c>
      <c r="E365" s="96" t="s">
        <v>964</v>
      </c>
      <c r="F365" s="96" t="s">
        <v>440</v>
      </c>
      <c r="G365" s="109">
        <v>9.8789999999999996</v>
      </c>
      <c r="H365" s="109">
        <v>0</v>
      </c>
      <c r="I365" s="496"/>
    </row>
    <row r="366" spans="1:18" ht="31.5">
      <c r="A366" s="153" t="s">
        <v>275</v>
      </c>
      <c r="B366" s="96" t="s">
        <v>117</v>
      </c>
      <c r="C366" s="96" t="s">
        <v>217</v>
      </c>
      <c r="D366" s="96" t="s">
        <v>217</v>
      </c>
      <c r="E366" s="96" t="s">
        <v>964</v>
      </c>
      <c r="F366" s="96" t="s">
        <v>413</v>
      </c>
      <c r="G366" s="109">
        <v>13.172000000000001</v>
      </c>
      <c r="H366" s="109">
        <v>0</v>
      </c>
      <c r="I366" s="496"/>
    </row>
    <row r="367" spans="1:18">
      <c r="A367" s="153" t="s">
        <v>467</v>
      </c>
      <c r="B367" s="96" t="s">
        <v>117</v>
      </c>
      <c r="C367" s="96" t="s">
        <v>217</v>
      </c>
      <c r="D367" s="96" t="s">
        <v>217</v>
      </c>
      <c r="E367" s="96" t="s">
        <v>914</v>
      </c>
      <c r="F367" s="96"/>
      <c r="G367" s="109">
        <f>G368+G369+G371+G373</f>
        <v>0</v>
      </c>
      <c r="H367" s="109">
        <f>H368+H369+H371+H373</f>
        <v>8483.8340000000007</v>
      </c>
      <c r="I367" s="496"/>
    </row>
    <row r="368" spans="1:18" ht="47.25">
      <c r="A368" s="76" t="s">
        <v>349</v>
      </c>
      <c r="B368" s="96" t="s">
        <v>117</v>
      </c>
      <c r="C368" s="96" t="s">
        <v>217</v>
      </c>
      <c r="D368" s="96" t="s">
        <v>217</v>
      </c>
      <c r="E368" s="205" t="s">
        <v>930</v>
      </c>
      <c r="F368" s="96" t="s">
        <v>421</v>
      </c>
      <c r="G368" s="109">
        <v>0</v>
      </c>
      <c r="H368" s="109">
        <v>1058.434</v>
      </c>
      <c r="I368" s="496"/>
    </row>
    <row r="369" spans="1:18" ht="126">
      <c r="A369" s="77" t="s">
        <v>743</v>
      </c>
      <c r="B369" s="96" t="s">
        <v>117</v>
      </c>
      <c r="C369" s="95" t="s">
        <v>217</v>
      </c>
      <c r="D369" s="95" t="s">
        <v>217</v>
      </c>
      <c r="E369" s="96" t="s">
        <v>524</v>
      </c>
      <c r="F369" s="95"/>
      <c r="G369" s="108">
        <f>G370</f>
        <v>0</v>
      </c>
      <c r="H369" s="108">
        <f>H370</f>
        <v>3655</v>
      </c>
      <c r="I369" s="496"/>
    </row>
    <row r="370" spans="1:18" ht="31.5">
      <c r="A370" s="77" t="s">
        <v>447</v>
      </c>
      <c r="B370" s="96" t="s">
        <v>117</v>
      </c>
      <c r="C370" s="96" t="s">
        <v>217</v>
      </c>
      <c r="D370" s="96" t="s">
        <v>217</v>
      </c>
      <c r="E370" s="96" t="s">
        <v>524</v>
      </c>
      <c r="F370" s="96" t="s">
        <v>354</v>
      </c>
      <c r="G370" s="109">
        <v>0</v>
      </c>
      <c r="H370" s="109">
        <v>3655</v>
      </c>
      <c r="I370" s="496"/>
    </row>
    <row r="371" spans="1:18" ht="31.5">
      <c r="A371" s="77" t="s">
        <v>915</v>
      </c>
      <c r="B371" s="95" t="s">
        <v>117</v>
      </c>
      <c r="C371" s="95" t="s">
        <v>217</v>
      </c>
      <c r="D371" s="95" t="s">
        <v>217</v>
      </c>
      <c r="E371" s="96" t="s">
        <v>928</v>
      </c>
      <c r="F371" s="95"/>
      <c r="G371" s="108">
        <f>G372</f>
        <v>0</v>
      </c>
      <c r="H371" s="108">
        <f>H372</f>
        <v>3714.7</v>
      </c>
      <c r="I371" s="496"/>
    </row>
    <row r="372" spans="1:18" ht="31.5">
      <c r="A372" s="77" t="s">
        <v>447</v>
      </c>
      <c r="B372" s="96" t="s">
        <v>117</v>
      </c>
      <c r="C372" s="96" t="s">
        <v>217</v>
      </c>
      <c r="D372" s="96" t="s">
        <v>217</v>
      </c>
      <c r="E372" s="96" t="s">
        <v>928</v>
      </c>
      <c r="F372" s="96" t="s">
        <v>354</v>
      </c>
      <c r="G372" s="109">
        <v>0</v>
      </c>
      <c r="H372" s="109">
        <v>3714.7</v>
      </c>
      <c r="I372" s="496"/>
    </row>
    <row r="373" spans="1:18" ht="47.25">
      <c r="A373" s="76" t="s">
        <v>916</v>
      </c>
      <c r="B373" s="95" t="s">
        <v>117</v>
      </c>
      <c r="C373" s="95" t="s">
        <v>217</v>
      </c>
      <c r="D373" s="95" t="s">
        <v>217</v>
      </c>
      <c r="E373" s="95" t="s">
        <v>929</v>
      </c>
      <c r="F373" s="95"/>
      <c r="G373" s="109">
        <f>G374+G375+G376</f>
        <v>0</v>
      </c>
      <c r="H373" s="109">
        <f>H374+H375+H376</f>
        <v>55.7</v>
      </c>
      <c r="I373" s="496"/>
    </row>
    <row r="374" spans="1:18">
      <c r="A374" s="76" t="s">
        <v>429</v>
      </c>
      <c r="B374" s="96" t="s">
        <v>117</v>
      </c>
      <c r="C374" s="96" t="s">
        <v>217</v>
      </c>
      <c r="D374" s="96" t="s">
        <v>217</v>
      </c>
      <c r="E374" s="95" t="s">
        <v>929</v>
      </c>
      <c r="F374" s="96" t="s">
        <v>438</v>
      </c>
      <c r="G374" s="109">
        <v>0</v>
      </c>
      <c r="H374" s="109">
        <v>32.649000000000001</v>
      </c>
      <c r="I374" s="496"/>
    </row>
    <row r="375" spans="1:18" ht="47.25">
      <c r="A375" s="196" t="s">
        <v>430</v>
      </c>
      <c r="B375" s="96" t="s">
        <v>117</v>
      </c>
      <c r="C375" s="96" t="s">
        <v>217</v>
      </c>
      <c r="D375" s="96" t="s">
        <v>217</v>
      </c>
      <c r="E375" s="95" t="s">
        <v>929</v>
      </c>
      <c r="F375" s="96" t="s">
        <v>440</v>
      </c>
      <c r="G375" s="109">
        <v>0</v>
      </c>
      <c r="H375" s="109">
        <v>9.8789999999999996</v>
      </c>
      <c r="I375" s="496"/>
    </row>
    <row r="376" spans="1:18" ht="31.5">
      <c r="A376" s="153" t="s">
        <v>275</v>
      </c>
      <c r="B376" s="96" t="s">
        <v>117</v>
      </c>
      <c r="C376" s="96" t="s">
        <v>217</v>
      </c>
      <c r="D376" s="96" t="s">
        <v>217</v>
      </c>
      <c r="E376" s="95" t="s">
        <v>929</v>
      </c>
      <c r="F376" s="96" t="s">
        <v>413</v>
      </c>
      <c r="G376" s="109">
        <v>0</v>
      </c>
      <c r="H376" s="109">
        <v>13.172000000000001</v>
      </c>
      <c r="I376" s="496"/>
    </row>
    <row r="377" spans="1:18" s="222" customFormat="1">
      <c r="A377" s="236" t="s">
        <v>409</v>
      </c>
      <c r="B377" s="237" t="s">
        <v>117</v>
      </c>
      <c r="C377" s="237" t="s">
        <v>217</v>
      </c>
      <c r="D377" s="237" t="s">
        <v>219</v>
      </c>
      <c r="E377" s="378"/>
      <c r="F377" s="237"/>
      <c r="G377" s="238">
        <f>G378+G382+G385</f>
        <v>57159.6</v>
      </c>
      <c r="H377" s="238">
        <f>H378+H382+H409</f>
        <v>56809.3</v>
      </c>
      <c r="I377" s="496"/>
    </row>
    <row r="378" spans="1:18" s="203" customFormat="1" ht="31.5">
      <c r="A378" s="174" t="s">
        <v>776</v>
      </c>
      <c r="B378" s="185" t="s">
        <v>117</v>
      </c>
      <c r="C378" s="185" t="s">
        <v>217</v>
      </c>
      <c r="D378" s="185" t="s">
        <v>219</v>
      </c>
      <c r="E378" s="185" t="s">
        <v>940</v>
      </c>
      <c r="F378" s="185"/>
      <c r="G378" s="194">
        <f t="shared" ref="G378:H379" si="15">G379</f>
        <v>300</v>
      </c>
      <c r="H378" s="194">
        <f t="shared" si="15"/>
        <v>0</v>
      </c>
      <c r="I378" s="496"/>
      <c r="L378" s="204"/>
      <c r="M378" s="204"/>
      <c r="N378" s="204"/>
      <c r="O378" s="204"/>
      <c r="P378" s="204"/>
      <c r="Q378" s="204"/>
      <c r="R378" s="204"/>
    </row>
    <row r="379" spans="1:18" s="203" customFormat="1" ht="31.5">
      <c r="A379" s="179" t="s">
        <v>454</v>
      </c>
      <c r="B379" s="187" t="s">
        <v>117</v>
      </c>
      <c r="C379" s="181" t="s">
        <v>217</v>
      </c>
      <c r="D379" s="181" t="s">
        <v>219</v>
      </c>
      <c r="E379" s="430" t="s">
        <v>965</v>
      </c>
      <c r="F379" s="181"/>
      <c r="G379" s="182">
        <f t="shared" si="15"/>
        <v>300</v>
      </c>
      <c r="H379" s="182">
        <f t="shared" si="15"/>
        <v>0</v>
      </c>
      <c r="I379" s="496"/>
      <c r="L379" s="204"/>
      <c r="M379" s="204"/>
      <c r="N379" s="204"/>
      <c r="O379" s="204"/>
      <c r="P379" s="204"/>
      <c r="Q379" s="204"/>
      <c r="R379" s="204"/>
    </row>
    <row r="380" spans="1:18" s="203" customFormat="1" ht="47.25">
      <c r="A380" s="179" t="s">
        <v>966</v>
      </c>
      <c r="B380" s="187" t="s">
        <v>117</v>
      </c>
      <c r="C380" s="181" t="s">
        <v>217</v>
      </c>
      <c r="D380" s="181" t="s">
        <v>219</v>
      </c>
      <c r="E380" s="430" t="s">
        <v>967</v>
      </c>
      <c r="F380" s="150"/>
      <c r="G380" s="122">
        <f>G381</f>
        <v>300</v>
      </c>
      <c r="H380" s="122">
        <f>H381</f>
        <v>0</v>
      </c>
      <c r="I380" s="496"/>
      <c r="L380" s="204"/>
      <c r="M380" s="204"/>
      <c r="N380" s="204"/>
      <c r="O380" s="204"/>
      <c r="P380" s="204"/>
      <c r="Q380" s="204"/>
      <c r="R380" s="204"/>
    </row>
    <row r="381" spans="1:18" ht="31.5">
      <c r="A381" s="153" t="s">
        <v>275</v>
      </c>
      <c r="B381" s="96" t="s">
        <v>117</v>
      </c>
      <c r="C381" s="96" t="s">
        <v>217</v>
      </c>
      <c r="D381" s="96" t="s">
        <v>219</v>
      </c>
      <c r="E381" s="150" t="s">
        <v>1047</v>
      </c>
      <c r="F381" s="150" t="s">
        <v>413</v>
      </c>
      <c r="G381" s="122">
        <v>300</v>
      </c>
      <c r="H381" s="122">
        <v>0</v>
      </c>
      <c r="I381" s="496"/>
    </row>
    <row r="382" spans="1:18" ht="31.5">
      <c r="A382" s="681" t="s">
        <v>870</v>
      </c>
      <c r="B382" s="185" t="s">
        <v>117</v>
      </c>
      <c r="C382" s="176" t="s">
        <v>217</v>
      </c>
      <c r="D382" s="176" t="s">
        <v>219</v>
      </c>
      <c r="E382" s="687" t="s">
        <v>1050</v>
      </c>
      <c r="F382" s="176"/>
      <c r="G382" s="194">
        <f>G383</f>
        <v>50</v>
      </c>
      <c r="H382" s="122">
        <f>H383</f>
        <v>0</v>
      </c>
      <c r="I382" s="496"/>
    </row>
    <row r="383" spans="1:18" ht="63">
      <c r="A383" s="163" t="s">
        <v>1013</v>
      </c>
      <c r="B383" s="346">
        <v>936</v>
      </c>
      <c r="C383" s="205" t="s">
        <v>217</v>
      </c>
      <c r="D383" s="205" t="s">
        <v>219</v>
      </c>
      <c r="E383" s="689" t="s">
        <v>987</v>
      </c>
      <c r="F383" s="201"/>
      <c r="G383" s="200">
        <f>G384</f>
        <v>50</v>
      </c>
      <c r="H383" s="122">
        <f>H384</f>
        <v>0</v>
      </c>
      <c r="I383" s="496"/>
    </row>
    <row r="384" spans="1:18" ht="31.5">
      <c r="A384" s="153" t="s">
        <v>275</v>
      </c>
      <c r="B384" s="150" t="s">
        <v>117</v>
      </c>
      <c r="C384" s="96" t="s">
        <v>217</v>
      </c>
      <c r="D384" s="96" t="s">
        <v>219</v>
      </c>
      <c r="E384" s="682" t="s">
        <v>871</v>
      </c>
      <c r="F384" s="96" t="s">
        <v>413</v>
      </c>
      <c r="G384" s="109">
        <v>50</v>
      </c>
      <c r="H384" s="122">
        <v>0</v>
      </c>
      <c r="I384" s="496"/>
    </row>
    <row r="385" spans="1:10" ht="31.5">
      <c r="A385" s="174" t="s">
        <v>776</v>
      </c>
      <c r="B385" s="185" t="s">
        <v>117</v>
      </c>
      <c r="C385" s="185" t="s">
        <v>217</v>
      </c>
      <c r="D385" s="185" t="s">
        <v>219</v>
      </c>
      <c r="E385" s="185" t="s">
        <v>940</v>
      </c>
      <c r="F385" s="185"/>
      <c r="G385" s="178">
        <f>G386</f>
        <v>56809.599999999999</v>
      </c>
      <c r="H385" s="178">
        <f>H386</f>
        <v>0</v>
      </c>
      <c r="I385" s="496"/>
    </row>
    <row r="386" spans="1:10" ht="31.5">
      <c r="A386" s="153" t="s">
        <v>968</v>
      </c>
      <c r="B386" s="150" t="s">
        <v>117</v>
      </c>
      <c r="C386" s="95" t="s">
        <v>217</v>
      </c>
      <c r="D386" s="95" t="s">
        <v>219</v>
      </c>
      <c r="E386" s="682" t="s">
        <v>970</v>
      </c>
      <c r="F386" s="150"/>
      <c r="G386" s="122">
        <f>G387</f>
        <v>56809.599999999999</v>
      </c>
      <c r="H386" s="122">
        <v>0</v>
      </c>
      <c r="I386" s="496"/>
    </row>
    <row r="387" spans="1:10" ht="47.25">
      <c r="A387" s="153" t="s">
        <v>969</v>
      </c>
      <c r="B387" s="150" t="s">
        <v>117</v>
      </c>
      <c r="C387" s="95" t="s">
        <v>217</v>
      </c>
      <c r="D387" s="95" t="s">
        <v>219</v>
      </c>
      <c r="E387" s="682" t="s">
        <v>971</v>
      </c>
      <c r="F387" s="150"/>
      <c r="G387" s="122">
        <f>G388+G392+G400+G403+G406</f>
        <v>56809.599999999999</v>
      </c>
      <c r="H387" s="122">
        <v>0</v>
      </c>
      <c r="I387" s="496"/>
    </row>
    <row r="388" spans="1:10" s="208" customFormat="1" ht="31.5">
      <c r="A388" s="77" t="s">
        <v>424</v>
      </c>
      <c r="B388" s="95" t="s">
        <v>117</v>
      </c>
      <c r="C388" s="95" t="s">
        <v>217</v>
      </c>
      <c r="D388" s="95" t="s">
        <v>219</v>
      </c>
      <c r="E388" s="96" t="s">
        <v>972</v>
      </c>
      <c r="F388" s="95"/>
      <c r="G388" s="108">
        <f t="shared" ref="G388" si="16">G389</f>
        <v>1628.77</v>
      </c>
      <c r="H388" s="108">
        <v>0</v>
      </c>
      <c r="I388" s="496"/>
    </row>
    <row r="389" spans="1:10" s="208" customFormat="1" ht="33" customHeight="1">
      <c r="A389" s="74" t="s">
        <v>394</v>
      </c>
      <c r="B389" s="95" t="s">
        <v>117</v>
      </c>
      <c r="C389" s="95" t="s">
        <v>217</v>
      </c>
      <c r="D389" s="95" t="s">
        <v>219</v>
      </c>
      <c r="E389" s="96" t="s">
        <v>973</v>
      </c>
      <c r="F389" s="95"/>
      <c r="G389" s="108">
        <f>G390+G391</f>
        <v>1628.77</v>
      </c>
      <c r="H389" s="108">
        <v>0</v>
      </c>
      <c r="I389" s="496"/>
    </row>
    <row r="390" spans="1:10" s="208" customFormat="1">
      <c r="A390" s="76" t="s">
        <v>429</v>
      </c>
      <c r="B390" s="96" t="s">
        <v>117</v>
      </c>
      <c r="C390" s="96" t="s">
        <v>217</v>
      </c>
      <c r="D390" s="96" t="s">
        <v>219</v>
      </c>
      <c r="E390" s="96" t="s">
        <v>973</v>
      </c>
      <c r="F390" s="98">
        <v>121</v>
      </c>
      <c r="G390" s="109">
        <v>1250.97542</v>
      </c>
      <c r="H390" s="109">
        <v>0</v>
      </c>
      <c r="I390" s="496"/>
    </row>
    <row r="391" spans="1:10" s="203" customFormat="1" ht="47.25">
      <c r="A391" s="196" t="s">
        <v>430</v>
      </c>
      <c r="B391" s="96" t="s">
        <v>117</v>
      </c>
      <c r="C391" s="96" t="s">
        <v>217</v>
      </c>
      <c r="D391" s="96" t="s">
        <v>219</v>
      </c>
      <c r="E391" s="96" t="s">
        <v>973</v>
      </c>
      <c r="F391" s="98">
        <v>129</v>
      </c>
      <c r="G391" s="109">
        <v>377.79458</v>
      </c>
      <c r="H391" s="109">
        <v>0</v>
      </c>
      <c r="I391" s="496"/>
    </row>
    <row r="392" spans="1:10" s="203" customFormat="1" ht="47.25">
      <c r="A392" s="77" t="s">
        <v>389</v>
      </c>
      <c r="B392" s="95" t="s">
        <v>117</v>
      </c>
      <c r="C392" s="95" t="s">
        <v>217</v>
      </c>
      <c r="D392" s="95" t="s">
        <v>219</v>
      </c>
      <c r="E392" s="95" t="s">
        <v>1003</v>
      </c>
      <c r="F392" s="95"/>
      <c r="G392" s="122">
        <f>G393+G394+G395+G396+G397+G398+G399</f>
        <v>12968.63</v>
      </c>
      <c r="H392" s="122">
        <v>0</v>
      </c>
      <c r="I392" s="496"/>
    </row>
    <row r="393" spans="1:10" s="91" customFormat="1">
      <c r="A393" s="207" t="s">
        <v>650</v>
      </c>
      <c r="B393" s="205" t="s">
        <v>117</v>
      </c>
      <c r="C393" s="205" t="s">
        <v>217</v>
      </c>
      <c r="D393" s="205" t="s">
        <v>219</v>
      </c>
      <c r="E393" s="96" t="s">
        <v>1003</v>
      </c>
      <c r="F393" s="205" t="s">
        <v>438</v>
      </c>
      <c r="G393" s="200">
        <v>7896.9969300000002</v>
      </c>
      <c r="H393" s="200">
        <v>0</v>
      </c>
      <c r="I393" s="496"/>
    </row>
    <row r="394" spans="1:10" s="91" customFormat="1" ht="31.5">
      <c r="A394" s="207" t="s">
        <v>15</v>
      </c>
      <c r="B394" s="205" t="s">
        <v>117</v>
      </c>
      <c r="C394" s="205" t="s">
        <v>217</v>
      </c>
      <c r="D394" s="205" t="s">
        <v>219</v>
      </c>
      <c r="E394" s="96" t="s">
        <v>1003</v>
      </c>
      <c r="F394" s="205" t="s">
        <v>813</v>
      </c>
      <c r="G394" s="200">
        <v>100</v>
      </c>
      <c r="H394" s="200">
        <v>100</v>
      </c>
      <c r="I394" s="496"/>
    </row>
    <row r="395" spans="1:10" s="91" customFormat="1" ht="31.5">
      <c r="A395" s="234" t="s">
        <v>651</v>
      </c>
      <c r="B395" s="205" t="s">
        <v>117</v>
      </c>
      <c r="C395" s="205" t="s">
        <v>217</v>
      </c>
      <c r="D395" s="205" t="s">
        <v>219</v>
      </c>
      <c r="E395" s="96" t="s">
        <v>1003</v>
      </c>
      <c r="F395" s="205" t="s">
        <v>440</v>
      </c>
      <c r="G395" s="200">
        <v>2384.8930700000001</v>
      </c>
      <c r="H395" s="200">
        <v>0</v>
      </c>
      <c r="I395" s="496"/>
    </row>
    <row r="396" spans="1:10" s="91" customFormat="1" ht="31.5">
      <c r="A396" s="209" t="s">
        <v>418</v>
      </c>
      <c r="B396" s="205" t="s">
        <v>117</v>
      </c>
      <c r="C396" s="205" t="s">
        <v>217</v>
      </c>
      <c r="D396" s="205" t="s">
        <v>219</v>
      </c>
      <c r="E396" s="96" t="s">
        <v>1003</v>
      </c>
      <c r="F396" s="205" t="s">
        <v>419</v>
      </c>
      <c r="G396" s="200">
        <v>300</v>
      </c>
      <c r="H396" s="200">
        <v>0</v>
      </c>
      <c r="I396" s="496"/>
    </row>
    <row r="397" spans="1:10" s="91" customFormat="1" ht="31.5">
      <c r="A397" s="153" t="s">
        <v>275</v>
      </c>
      <c r="B397" s="205" t="s">
        <v>117</v>
      </c>
      <c r="C397" s="205" t="s">
        <v>217</v>
      </c>
      <c r="D397" s="205" t="s">
        <v>219</v>
      </c>
      <c r="E397" s="96" t="s">
        <v>1003</v>
      </c>
      <c r="F397" s="205" t="s">
        <v>413</v>
      </c>
      <c r="G397" s="200">
        <v>2250.84</v>
      </c>
      <c r="H397" s="200">
        <v>0</v>
      </c>
      <c r="I397" s="496"/>
    </row>
    <row r="398" spans="1:10">
      <c r="A398" s="76" t="s">
        <v>415</v>
      </c>
      <c r="B398" s="96" t="s">
        <v>117</v>
      </c>
      <c r="C398" s="96" t="s">
        <v>217</v>
      </c>
      <c r="D398" s="96" t="s">
        <v>219</v>
      </c>
      <c r="E398" s="96" t="s">
        <v>1003</v>
      </c>
      <c r="F398" s="110">
        <v>851</v>
      </c>
      <c r="G398" s="109">
        <v>4.9000000000000004</v>
      </c>
      <c r="H398" s="109">
        <v>0</v>
      </c>
      <c r="I398" s="496"/>
    </row>
    <row r="399" spans="1:10">
      <c r="A399" s="76" t="s">
        <v>276</v>
      </c>
      <c r="B399" s="96" t="s">
        <v>117</v>
      </c>
      <c r="C399" s="96" t="s">
        <v>217</v>
      </c>
      <c r="D399" s="96" t="s">
        <v>219</v>
      </c>
      <c r="E399" s="96" t="s">
        <v>1003</v>
      </c>
      <c r="F399" s="110">
        <v>852</v>
      </c>
      <c r="G399" s="109">
        <v>31</v>
      </c>
      <c r="H399" s="109">
        <v>0</v>
      </c>
      <c r="I399" s="496"/>
    </row>
    <row r="400" spans="1:10" ht="47.25">
      <c r="A400" s="76" t="s">
        <v>441</v>
      </c>
      <c r="B400" s="150" t="s">
        <v>117</v>
      </c>
      <c r="C400" s="96" t="s">
        <v>217</v>
      </c>
      <c r="D400" s="96" t="s">
        <v>219</v>
      </c>
      <c r="E400" s="96" t="s">
        <v>1004</v>
      </c>
      <c r="F400" s="110"/>
      <c r="G400" s="109">
        <f>G401+G402</f>
        <v>50.199999999999996</v>
      </c>
      <c r="H400" s="108">
        <v>0</v>
      </c>
      <c r="I400" s="577"/>
      <c r="J400" s="85"/>
    </row>
    <row r="401" spans="1:10" s="91" customFormat="1" ht="31.5">
      <c r="A401" s="76" t="s">
        <v>160</v>
      </c>
      <c r="B401" s="150" t="s">
        <v>117</v>
      </c>
      <c r="C401" s="96" t="s">
        <v>217</v>
      </c>
      <c r="D401" s="96" t="s">
        <v>219</v>
      </c>
      <c r="E401" s="96" t="s">
        <v>1004</v>
      </c>
      <c r="F401" s="110">
        <v>121</v>
      </c>
      <c r="G401" s="109">
        <v>38.556069999999998</v>
      </c>
      <c r="H401" s="109">
        <v>0</v>
      </c>
      <c r="I401" s="496"/>
    </row>
    <row r="402" spans="1:10" ht="47.25">
      <c r="A402" s="196" t="s">
        <v>430</v>
      </c>
      <c r="B402" s="150" t="s">
        <v>117</v>
      </c>
      <c r="C402" s="96" t="s">
        <v>217</v>
      </c>
      <c r="D402" s="96" t="s">
        <v>219</v>
      </c>
      <c r="E402" s="96" t="s">
        <v>1004</v>
      </c>
      <c r="F402" s="110">
        <v>129</v>
      </c>
      <c r="G402" s="109">
        <v>11.643929999999999</v>
      </c>
      <c r="H402" s="109">
        <v>0</v>
      </c>
      <c r="I402" s="496"/>
    </row>
    <row r="403" spans="1:10" ht="94.5">
      <c r="A403" s="77" t="s">
        <v>592</v>
      </c>
      <c r="B403" s="95" t="s">
        <v>117</v>
      </c>
      <c r="C403" s="95" t="s">
        <v>217</v>
      </c>
      <c r="D403" s="95" t="s">
        <v>219</v>
      </c>
      <c r="E403" s="215"/>
      <c r="F403" s="95"/>
      <c r="G403" s="108">
        <f>G405+G404</f>
        <v>85.399999999999991</v>
      </c>
      <c r="H403" s="108">
        <v>0</v>
      </c>
      <c r="I403" s="577"/>
      <c r="J403" s="85"/>
    </row>
    <row r="404" spans="1:10" s="91" customFormat="1" ht="31.5">
      <c r="A404" s="76" t="s">
        <v>160</v>
      </c>
      <c r="B404" s="96" t="s">
        <v>117</v>
      </c>
      <c r="C404" s="96" t="s">
        <v>217</v>
      </c>
      <c r="D404" s="96" t="s">
        <v>219</v>
      </c>
      <c r="E404" s="96" t="s">
        <v>1005</v>
      </c>
      <c r="F404" s="96" t="s">
        <v>412</v>
      </c>
      <c r="G404" s="109">
        <f>64.59293+0.99846</f>
        <v>65.59138999999999</v>
      </c>
      <c r="H404" s="109">
        <v>0</v>
      </c>
      <c r="I404" s="496"/>
    </row>
    <row r="405" spans="1:10" ht="47.25">
      <c r="A405" s="196" t="s">
        <v>430</v>
      </c>
      <c r="B405" s="96" t="s">
        <v>117</v>
      </c>
      <c r="C405" s="96" t="s">
        <v>217</v>
      </c>
      <c r="D405" s="96" t="s">
        <v>219</v>
      </c>
      <c r="E405" s="96" t="s">
        <v>1005</v>
      </c>
      <c r="F405" s="96" t="s">
        <v>431</v>
      </c>
      <c r="G405" s="109">
        <f>19.50707+0.30154</f>
        <v>19.808609999999998</v>
      </c>
      <c r="H405" s="109">
        <v>0</v>
      </c>
      <c r="I405" s="496"/>
    </row>
    <row r="406" spans="1:10" ht="63">
      <c r="A406" s="74" t="s">
        <v>918</v>
      </c>
      <c r="B406" s="150" t="s">
        <v>117</v>
      </c>
      <c r="C406" s="96" t="s">
        <v>217</v>
      </c>
      <c r="D406" s="96" t="s">
        <v>219</v>
      </c>
      <c r="E406" s="96" t="s">
        <v>1006</v>
      </c>
      <c r="F406" s="95"/>
      <c r="G406" s="149">
        <f>G407+G408</f>
        <v>42076.6</v>
      </c>
      <c r="H406" s="149">
        <v>0</v>
      </c>
      <c r="I406" s="496"/>
    </row>
    <row r="407" spans="1:10">
      <c r="A407" s="207" t="s">
        <v>650</v>
      </c>
      <c r="B407" s="150" t="s">
        <v>117</v>
      </c>
      <c r="C407" s="96" t="s">
        <v>217</v>
      </c>
      <c r="D407" s="96" t="s">
        <v>219</v>
      </c>
      <c r="E407" s="96" t="s">
        <v>1006</v>
      </c>
      <c r="F407" s="96" t="s">
        <v>438</v>
      </c>
      <c r="G407" s="109">
        <v>32316.897000000001</v>
      </c>
      <c r="H407" s="109">
        <v>0</v>
      </c>
      <c r="I407" s="496"/>
    </row>
    <row r="408" spans="1:10" ht="31.5">
      <c r="A408" s="590" t="s">
        <v>651</v>
      </c>
      <c r="B408" s="150" t="s">
        <v>117</v>
      </c>
      <c r="C408" s="96" t="s">
        <v>217</v>
      </c>
      <c r="D408" s="96" t="s">
        <v>219</v>
      </c>
      <c r="E408" s="96" t="s">
        <v>1006</v>
      </c>
      <c r="F408" s="96" t="s">
        <v>440</v>
      </c>
      <c r="G408" s="109">
        <v>9759.7029999999995</v>
      </c>
      <c r="H408" s="109">
        <v>0</v>
      </c>
      <c r="I408" s="496"/>
    </row>
    <row r="409" spans="1:10">
      <c r="A409" s="153" t="s">
        <v>467</v>
      </c>
      <c r="B409" s="96" t="s">
        <v>117</v>
      </c>
      <c r="C409" s="96" t="s">
        <v>217</v>
      </c>
      <c r="D409" s="96" t="s">
        <v>219</v>
      </c>
      <c r="E409" s="96" t="s">
        <v>917</v>
      </c>
      <c r="F409" s="150"/>
      <c r="G409" s="122">
        <f>G410+G414+G423+G426+G429</f>
        <v>0</v>
      </c>
      <c r="H409" s="122">
        <f>H410+H414+H423+H426+H429</f>
        <v>56809.3</v>
      </c>
      <c r="I409" s="496"/>
    </row>
    <row r="410" spans="1:10" ht="31.5">
      <c r="A410" s="77" t="s">
        <v>424</v>
      </c>
      <c r="B410" s="95" t="s">
        <v>117</v>
      </c>
      <c r="C410" s="95" t="s">
        <v>217</v>
      </c>
      <c r="D410" s="95" t="s">
        <v>219</v>
      </c>
      <c r="E410" s="95" t="s">
        <v>526</v>
      </c>
      <c r="F410" s="95"/>
      <c r="G410" s="108">
        <f t="shared" ref="G410:H410" si="17">G411</f>
        <v>0</v>
      </c>
      <c r="H410" s="108">
        <f t="shared" si="17"/>
        <v>1628.77</v>
      </c>
      <c r="I410" s="496"/>
    </row>
    <row r="411" spans="1:10">
      <c r="A411" s="74" t="s">
        <v>394</v>
      </c>
      <c r="B411" s="95" t="s">
        <v>117</v>
      </c>
      <c r="C411" s="95" t="s">
        <v>217</v>
      </c>
      <c r="D411" s="95" t="s">
        <v>219</v>
      </c>
      <c r="E411" s="96" t="s">
        <v>528</v>
      </c>
      <c r="F411" s="95"/>
      <c r="G411" s="108">
        <v>0</v>
      </c>
      <c r="H411" s="108">
        <f>H412+H413</f>
        <v>1628.77</v>
      </c>
      <c r="I411" s="496"/>
    </row>
    <row r="412" spans="1:10">
      <c r="A412" s="76" t="s">
        <v>429</v>
      </c>
      <c r="B412" s="96" t="s">
        <v>117</v>
      </c>
      <c r="C412" s="96" t="s">
        <v>217</v>
      </c>
      <c r="D412" s="96" t="s">
        <v>219</v>
      </c>
      <c r="E412" s="96" t="s">
        <v>528</v>
      </c>
      <c r="F412" s="98">
        <v>121</v>
      </c>
      <c r="G412" s="109">
        <v>0</v>
      </c>
      <c r="H412" s="109">
        <v>1250.97542</v>
      </c>
      <c r="I412" s="496"/>
    </row>
    <row r="413" spans="1:10" ht="47.25">
      <c r="A413" s="196" t="s">
        <v>430</v>
      </c>
      <c r="B413" s="96" t="s">
        <v>117</v>
      </c>
      <c r="C413" s="96" t="s">
        <v>217</v>
      </c>
      <c r="D413" s="96" t="s">
        <v>219</v>
      </c>
      <c r="E413" s="96" t="s">
        <v>528</v>
      </c>
      <c r="F413" s="98">
        <v>129</v>
      </c>
      <c r="G413" s="109">
        <v>0</v>
      </c>
      <c r="H413" s="109">
        <v>377.79458</v>
      </c>
      <c r="I413" s="496"/>
    </row>
    <row r="414" spans="1:10" ht="31.5">
      <c r="A414" s="77" t="s">
        <v>395</v>
      </c>
      <c r="B414" s="95" t="s">
        <v>117</v>
      </c>
      <c r="C414" s="95" t="s">
        <v>217</v>
      </c>
      <c r="D414" s="95" t="s">
        <v>219</v>
      </c>
      <c r="E414" s="95" t="s">
        <v>539</v>
      </c>
      <c r="F414" s="95"/>
      <c r="G414" s="122">
        <v>0</v>
      </c>
      <c r="H414" s="122">
        <f>H415</f>
        <v>12968.63</v>
      </c>
      <c r="I414" s="496"/>
    </row>
    <row r="415" spans="1:10" ht="47.25">
      <c r="A415" s="77" t="s">
        <v>389</v>
      </c>
      <c r="B415" s="95" t="s">
        <v>117</v>
      </c>
      <c r="C415" s="95" t="s">
        <v>217</v>
      </c>
      <c r="D415" s="95" t="s">
        <v>219</v>
      </c>
      <c r="E415" s="95" t="s">
        <v>556</v>
      </c>
      <c r="F415" s="95"/>
      <c r="G415" s="122">
        <v>0</v>
      </c>
      <c r="H415" s="122">
        <f>H416+H417+H418+H419+H420+H421+H422</f>
        <v>12968.63</v>
      </c>
      <c r="I415" s="496"/>
    </row>
    <row r="416" spans="1:10">
      <c r="A416" s="207" t="s">
        <v>650</v>
      </c>
      <c r="B416" s="205" t="s">
        <v>117</v>
      </c>
      <c r="C416" s="205" t="s">
        <v>217</v>
      </c>
      <c r="D416" s="205" t="s">
        <v>219</v>
      </c>
      <c r="E416" s="96" t="s">
        <v>556</v>
      </c>
      <c r="F416" s="205" t="s">
        <v>438</v>
      </c>
      <c r="G416" s="200">
        <v>0</v>
      </c>
      <c r="H416" s="200">
        <v>7896.9969300000002</v>
      </c>
      <c r="I416" s="496"/>
    </row>
    <row r="417" spans="1:10" ht="31.5">
      <c r="A417" s="207" t="s">
        <v>15</v>
      </c>
      <c r="B417" s="205" t="s">
        <v>117</v>
      </c>
      <c r="C417" s="205" t="s">
        <v>217</v>
      </c>
      <c r="D417" s="205" t="s">
        <v>219</v>
      </c>
      <c r="E417" s="96" t="s">
        <v>556</v>
      </c>
      <c r="F417" s="205" t="s">
        <v>439</v>
      </c>
      <c r="G417" s="200">
        <v>0</v>
      </c>
      <c r="H417" s="200">
        <v>100</v>
      </c>
      <c r="I417" s="496"/>
    </row>
    <row r="418" spans="1:10" ht="31.5">
      <c r="A418" s="234" t="s">
        <v>651</v>
      </c>
      <c r="B418" s="205" t="s">
        <v>117</v>
      </c>
      <c r="C418" s="205" t="s">
        <v>217</v>
      </c>
      <c r="D418" s="205" t="s">
        <v>219</v>
      </c>
      <c r="E418" s="96" t="s">
        <v>556</v>
      </c>
      <c r="F418" s="205" t="s">
        <v>440</v>
      </c>
      <c r="G418" s="200">
        <v>0</v>
      </c>
      <c r="H418" s="200">
        <v>2384.8930700000001</v>
      </c>
      <c r="I418" s="496"/>
    </row>
    <row r="419" spans="1:10" ht="31.5">
      <c r="A419" s="209" t="s">
        <v>418</v>
      </c>
      <c r="B419" s="205" t="s">
        <v>117</v>
      </c>
      <c r="C419" s="205" t="s">
        <v>217</v>
      </c>
      <c r="D419" s="205" t="s">
        <v>219</v>
      </c>
      <c r="E419" s="96" t="s">
        <v>556</v>
      </c>
      <c r="F419" s="205" t="s">
        <v>419</v>
      </c>
      <c r="G419" s="200">
        <v>0</v>
      </c>
      <c r="H419" s="200">
        <v>300</v>
      </c>
      <c r="I419" s="496"/>
    </row>
    <row r="420" spans="1:10" ht="31.5">
      <c r="A420" s="153" t="s">
        <v>275</v>
      </c>
      <c r="B420" s="205" t="s">
        <v>117</v>
      </c>
      <c r="C420" s="205" t="s">
        <v>217</v>
      </c>
      <c r="D420" s="205" t="s">
        <v>219</v>
      </c>
      <c r="E420" s="96" t="s">
        <v>556</v>
      </c>
      <c r="F420" s="205" t="s">
        <v>413</v>
      </c>
      <c r="G420" s="200">
        <v>0</v>
      </c>
      <c r="H420" s="200">
        <v>2250.84</v>
      </c>
      <c r="I420" s="496"/>
    </row>
    <row r="421" spans="1:10">
      <c r="A421" s="76" t="s">
        <v>415</v>
      </c>
      <c r="B421" s="96" t="s">
        <v>117</v>
      </c>
      <c r="C421" s="96" t="s">
        <v>217</v>
      </c>
      <c r="D421" s="96" t="s">
        <v>219</v>
      </c>
      <c r="E421" s="96" t="s">
        <v>556</v>
      </c>
      <c r="F421" s="110">
        <v>851</v>
      </c>
      <c r="G421" s="109">
        <v>0</v>
      </c>
      <c r="H421" s="109">
        <v>4.9000000000000004</v>
      </c>
      <c r="I421" s="496"/>
    </row>
    <row r="422" spans="1:10">
      <c r="A422" s="76" t="s">
        <v>276</v>
      </c>
      <c r="B422" s="96" t="s">
        <v>117</v>
      </c>
      <c r="C422" s="96" t="s">
        <v>217</v>
      </c>
      <c r="D422" s="96" t="s">
        <v>219</v>
      </c>
      <c r="E422" s="96" t="s">
        <v>556</v>
      </c>
      <c r="F422" s="110">
        <v>852</v>
      </c>
      <c r="G422" s="109">
        <v>0</v>
      </c>
      <c r="H422" s="109">
        <v>31</v>
      </c>
      <c r="I422" s="496"/>
    </row>
    <row r="423" spans="1:10" ht="47.25">
      <c r="A423" s="76" t="s">
        <v>441</v>
      </c>
      <c r="B423" s="150" t="s">
        <v>117</v>
      </c>
      <c r="C423" s="96" t="s">
        <v>217</v>
      </c>
      <c r="D423" s="96" t="s">
        <v>219</v>
      </c>
      <c r="E423" s="96" t="s">
        <v>525</v>
      </c>
      <c r="F423" s="110"/>
      <c r="G423" s="109">
        <v>0</v>
      </c>
      <c r="H423" s="108">
        <f>H424+H425</f>
        <v>50.199999999999996</v>
      </c>
      <c r="I423" s="496"/>
    </row>
    <row r="424" spans="1:10" ht="31.5">
      <c r="A424" s="76" t="s">
        <v>160</v>
      </c>
      <c r="B424" s="150" t="s">
        <v>117</v>
      </c>
      <c r="C424" s="96" t="s">
        <v>217</v>
      </c>
      <c r="D424" s="96" t="s">
        <v>219</v>
      </c>
      <c r="E424" s="96" t="s">
        <v>525</v>
      </c>
      <c r="F424" s="110">
        <v>121</v>
      </c>
      <c r="G424" s="109">
        <v>0</v>
      </c>
      <c r="H424" s="109">
        <v>38.556069999999998</v>
      </c>
      <c r="I424" s="496"/>
    </row>
    <row r="425" spans="1:10" ht="47.25">
      <c r="A425" s="196" t="s">
        <v>430</v>
      </c>
      <c r="B425" s="150" t="s">
        <v>117</v>
      </c>
      <c r="C425" s="96" t="s">
        <v>217</v>
      </c>
      <c r="D425" s="96" t="s">
        <v>219</v>
      </c>
      <c r="E425" s="96" t="s">
        <v>525</v>
      </c>
      <c r="F425" s="110">
        <v>129</v>
      </c>
      <c r="G425" s="109">
        <v>0</v>
      </c>
      <c r="H425" s="109">
        <v>11.643929999999999</v>
      </c>
      <c r="I425" s="496"/>
    </row>
    <row r="426" spans="1:10" ht="94.5">
      <c r="A426" s="77" t="s">
        <v>592</v>
      </c>
      <c r="B426" s="95" t="s">
        <v>117</v>
      </c>
      <c r="C426" s="95" t="s">
        <v>217</v>
      </c>
      <c r="D426" s="95" t="s">
        <v>219</v>
      </c>
      <c r="E426" s="488"/>
      <c r="F426" s="95"/>
      <c r="G426" s="108">
        <v>0</v>
      </c>
      <c r="H426" s="108">
        <f>H427+H428</f>
        <v>85.1</v>
      </c>
      <c r="I426" s="496"/>
    </row>
    <row r="427" spans="1:10" ht="31.5">
      <c r="A427" s="76" t="s">
        <v>160</v>
      </c>
      <c r="B427" s="96" t="s">
        <v>117</v>
      </c>
      <c r="C427" s="96" t="s">
        <v>217</v>
      </c>
      <c r="D427" s="96" t="s">
        <v>219</v>
      </c>
      <c r="E427" s="96" t="s">
        <v>2</v>
      </c>
      <c r="F427" s="96" t="s">
        <v>412</v>
      </c>
      <c r="G427" s="109">
        <v>0</v>
      </c>
      <c r="H427" s="109">
        <f>64.59293+0.76805</f>
        <v>65.360979999999998</v>
      </c>
      <c r="I427" s="496"/>
    </row>
    <row r="428" spans="1:10" ht="47.25">
      <c r="A428" s="196" t="s">
        <v>430</v>
      </c>
      <c r="B428" s="96" t="s">
        <v>117</v>
      </c>
      <c r="C428" s="96" t="s">
        <v>217</v>
      </c>
      <c r="D428" s="96" t="s">
        <v>219</v>
      </c>
      <c r="E428" s="96" t="s">
        <v>2</v>
      </c>
      <c r="F428" s="96" t="s">
        <v>431</v>
      </c>
      <c r="G428" s="109">
        <v>0</v>
      </c>
      <c r="H428" s="109">
        <f>19.50707+0.23195</f>
        <v>19.73902</v>
      </c>
      <c r="I428" s="496"/>
    </row>
    <row r="429" spans="1:10" ht="63">
      <c r="A429" s="74" t="s">
        <v>918</v>
      </c>
      <c r="B429" s="150" t="s">
        <v>117</v>
      </c>
      <c r="C429" s="96" t="s">
        <v>217</v>
      </c>
      <c r="D429" s="96" t="s">
        <v>219</v>
      </c>
      <c r="E429" s="96" t="s">
        <v>733</v>
      </c>
      <c r="F429" s="95"/>
      <c r="G429" s="149">
        <v>0</v>
      </c>
      <c r="H429" s="149">
        <f>H430+H431</f>
        <v>42076.6</v>
      </c>
      <c r="I429" s="577"/>
      <c r="J429" s="85"/>
    </row>
    <row r="430" spans="1:10" ht="28.5" customHeight="1">
      <c r="A430" s="207" t="s">
        <v>650</v>
      </c>
      <c r="B430" s="150" t="s">
        <v>117</v>
      </c>
      <c r="C430" s="96" t="s">
        <v>217</v>
      </c>
      <c r="D430" s="96" t="s">
        <v>219</v>
      </c>
      <c r="E430" s="96" t="s">
        <v>733</v>
      </c>
      <c r="F430" s="96" t="s">
        <v>438</v>
      </c>
      <c r="G430" s="109">
        <v>0</v>
      </c>
      <c r="H430" s="109">
        <v>32316.897000000001</v>
      </c>
      <c r="I430" s="496"/>
    </row>
    <row r="431" spans="1:10" ht="42" customHeight="1">
      <c r="A431" s="590" t="s">
        <v>651</v>
      </c>
      <c r="B431" s="150" t="s">
        <v>117</v>
      </c>
      <c r="C431" s="96" t="s">
        <v>217</v>
      </c>
      <c r="D431" s="96" t="s">
        <v>219</v>
      </c>
      <c r="E431" s="96" t="s">
        <v>733</v>
      </c>
      <c r="F431" s="96" t="s">
        <v>440</v>
      </c>
      <c r="G431" s="109">
        <v>0</v>
      </c>
      <c r="H431" s="109">
        <v>9759.7029999999995</v>
      </c>
      <c r="I431" s="496"/>
    </row>
    <row r="432" spans="1:10" ht="42" customHeight="1">
      <c r="A432" s="79" t="s">
        <v>403</v>
      </c>
      <c r="B432" s="341" t="s">
        <v>117</v>
      </c>
      <c r="C432" s="103" t="s">
        <v>220</v>
      </c>
      <c r="D432" s="103" t="s">
        <v>218</v>
      </c>
      <c r="E432" s="103"/>
      <c r="F432" s="103"/>
      <c r="G432" s="104">
        <f>G433</f>
        <v>3459.5</v>
      </c>
      <c r="H432" s="104">
        <f>H442</f>
        <v>3459.5</v>
      </c>
      <c r="I432" s="496"/>
    </row>
    <row r="433" spans="1:9" ht="42" customHeight="1">
      <c r="A433" s="174" t="s">
        <v>776</v>
      </c>
      <c r="B433" s="185" t="s">
        <v>117</v>
      </c>
      <c r="C433" s="96" t="s">
        <v>220</v>
      </c>
      <c r="D433" s="96" t="s">
        <v>218</v>
      </c>
      <c r="E433" s="185" t="s">
        <v>933</v>
      </c>
      <c r="F433" s="96"/>
      <c r="G433" s="109">
        <f>G434+G438</f>
        <v>3459.5</v>
      </c>
      <c r="H433" s="109">
        <v>0</v>
      </c>
      <c r="I433" s="496"/>
    </row>
    <row r="434" spans="1:9" ht="42" customHeight="1">
      <c r="A434" s="179" t="s">
        <v>458</v>
      </c>
      <c r="B434" s="181" t="s">
        <v>117</v>
      </c>
      <c r="C434" s="96" t="s">
        <v>220</v>
      </c>
      <c r="D434" s="96" t="s">
        <v>218</v>
      </c>
      <c r="E434" s="187" t="s">
        <v>934</v>
      </c>
      <c r="F434" s="96"/>
      <c r="G434" s="109">
        <f>G435</f>
        <v>3350</v>
      </c>
      <c r="H434" s="109">
        <v>0</v>
      </c>
      <c r="I434" s="496"/>
    </row>
    <row r="435" spans="1:9" ht="42" customHeight="1">
      <c r="A435" s="693" t="s">
        <v>935</v>
      </c>
      <c r="B435" s="191">
        <v>936</v>
      </c>
      <c r="C435" s="96" t="s">
        <v>220</v>
      </c>
      <c r="D435" s="96" t="s">
        <v>218</v>
      </c>
      <c r="E435" s="205" t="s">
        <v>936</v>
      </c>
      <c r="F435" s="96"/>
      <c r="G435" s="109">
        <f>G436</f>
        <v>3350</v>
      </c>
      <c r="H435" s="109">
        <v>0</v>
      </c>
      <c r="I435" s="496"/>
    </row>
    <row r="436" spans="1:9" ht="207.75" customHeight="1">
      <c r="A436" s="316" t="s">
        <v>809</v>
      </c>
      <c r="B436" s="96" t="s">
        <v>117</v>
      </c>
      <c r="C436" s="96" t="s">
        <v>220</v>
      </c>
      <c r="D436" s="96" t="s">
        <v>218</v>
      </c>
      <c r="E436" s="150" t="s">
        <v>1025</v>
      </c>
      <c r="F436" s="96"/>
      <c r="G436" s="109">
        <f>G437</f>
        <v>3350</v>
      </c>
      <c r="H436" s="109">
        <v>0</v>
      </c>
      <c r="I436" s="496"/>
    </row>
    <row r="437" spans="1:9" ht="42" customHeight="1">
      <c r="A437" s="76" t="s">
        <v>271</v>
      </c>
      <c r="B437" s="96" t="s">
        <v>117</v>
      </c>
      <c r="C437" s="96" t="s">
        <v>220</v>
      </c>
      <c r="D437" s="96" t="s">
        <v>218</v>
      </c>
      <c r="E437" s="150" t="s">
        <v>1025</v>
      </c>
      <c r="F437" s="96" t="s">
        <v>268</v>
      </c>
      <c r="G437" s="109">
        <v>3350</v>
      </c>
      <c r="H437" s="109"/>
      <c r="I437" s="496"/>
    </row>
    <row r="438" spans="1:9" ht="42" customHeight="1">
      <c r="A438" s="179" t="s">
        <v>456</v>
      </c>
      <c r="B438" s="150" t="s">
        <v>117</v>
      </c>
      <c r="C438" s="187" t="s">
        <v>220</v>
      </c>
      <c r="D438" s="187" t="s">
        <v>218</v>
      </c>
      <c r="E438" s="187" t="s">
        <v>953</v>
      </c>
      <c r="F438" s="96"/>
      <c r="G438" s="109">
        <f>G439</f>
        <v>109.5</v>
      </c>
      <c r="H438" s="109">
        <v>0</v>
      </c>
      <c r="I438" s="496"/>
    </row>
    <row r="439" spans="1:9" ht="42" customHeight="1">
      <c r="A439" s="179" t="s">
        <v>954</v>
      </c>
      <c r="B439" s="150" t="s">
        <v>117</v>
      </c>
      <c r="C439" s="187" t="s">
        <v>220</v>
      </c>
      <c r="D439" s="187" t="s">
        <v>218</v>
      </c>
      <c r="E439" s="187" t="s">
        <v>955</v>
      </c>
      <c r="F439" s="96"/>
      <c r="G439" s="109">
        <f>G440</f>
        <v>109.5</v>
      </c>
      <c r="H439" s="109">
        <v>0</v>
      </c>
      <c r="I439" s="496"/>
    </row>
    <row r="440" spans="1:9" ht="208.5" customHeight="1">
      <c r="A440" s="316" t="s">
        <v>809</v>
      </c>
      <c r="B440" s="96" t="s">
        <v>117</v>
      </c>
      <c r="C440" s="96" t="s">
        <v>220</v>
      </c>
      <c r="D440" s="96" t="s">
        <v>218</v>
      </c>
      <c r="E440" s="150" t="s">
        <v>1068</v>
      </c>
      <c r="F440" s="96"/>
      <c r="G440" s="109">
        <f>G441</f>
        <v>109.5</v>
      </c>
      <c r="H440" s="109">
        <v>0</v>
      </c>
      <c r="I440" s="496"/>
    </row>
    <row r="441" spans="1:9" ht="42" customHeight="1">
      <c r="A441" s="76" t="s">
        <v>271</v>
      </c>
      <c r="B441" s="96" t="s">
        <v>117</v>
      </c>
      <c r="C441" s="96" t="s">
        <v>220</v>
      </c>
      <c r="D441" s="96" t="s">
        <v>218</v>
      </c>
      <c r="E441" s="150" t="s">
        <v>1068</v>
      </c>
      <c r="F441" s="96" t="s">
        <v>268</v>
      </c>
      <c r="G441" s="109">
        <v>109.5</v>
      </c>
      <c r="H441" s="109">
        <v>0</v>
      </c>
      <c r="I441" s="496"/>
    </row>
    <row r="442" spans="1:9" ht="42" customHeight="1">
      <c r="A442" s="76" t="s">
        <v>467</v>
      </c>
      <c r="B442" s="96" t="s">
        <v>117</v>
      </c>
      <c r="C442" s="96" t="s">
        <v>220</v>
      </c>
      <c r="D442" s="96" t="s">
        <v>218</v>
      </c>
      <c r="E442" s="150" t="s">
        <v>1070</v>
      </c>
      <c r="F442" s="96"/>
      <c r="G442" s="109">
        <v>0</v>
      </c>
      <c r="H442" s="109">
        <f>H443</f>
        <v>3459.5</v>
      </c>
      <c r="I442" s="496"/>
    </row>
    <row r="443" spans="1:9" ht="54" customHeight="1">
      <c r="A443" s="316" t="s">
        <v>809</v>
      </c>
      <c r="B443" s="96" t="s">
        <v>117</v>
      </c>
      <c r="C443" s="96" t="s">
        <v>220</v>
      </c>
      <c r="D443" s="96" t="s">
        <v>218</v>
      </c>
      <c r="E443" s="150" t="s">
        <v>1069</v>
      </c>
      <c r="F443" s="96"/>
      <c r="G443" s="109">
        <f t="shared" ref="G443" si="18">G444</f>
        <v>0</v>
      </c>
      <c r="H443" s="109">
        <f>H444</f>
        <v>3459.5</v>
      </c>
      <c r="I443" s="496"/>
    </row>
    <row r="444" spans="1:9" ht="42" customHeight="1">
      <c r="A444" s="76" t="s">
        <v>271</v>
      </c>
      <c r="B444" s="96" t="s">
        <v>117</v>
      </c>
      <c r="C444" s="96" t="s">
        <v>220</v>
      </c>
      <c r="D444" s="96" t="s">
        <v>218</v>
      </c>
      <c r="E444" s="150" t="s">
        <v>1069</v>
      </c>
      <c r="F444" s="96" t="s">
        <v>268</v>
      </c>
      <c r="G444" s="109">
        <v>0</v>
      </c>
      <c r="H444" s="109">
        <v>3459.5</v>
      </c>
      <c r="I444" s="496"/>
    </row>
    <row r="445" spans="1:9" ht="48.75" customHeight="1">
      <c r="A445" s="623" t="s">
        <v>663</v>
      </c>
      <c r="B445" s="624" t="s">
        <v>662</v>
      </c>
      <c r="C445" s="625"/>
      <c r="D445" s="625"/>
      <c r="E445" s="624"/>
      <c r="F445" s="624"/>
      <c r="G445" s="626">
        <f>G446+G457+G465</f>
        <v>92332.148190000007</v>
      </c>
      <c r="H445" s="626">
        <f>H446+H457+H465</f>
        <v>52829.230309999999</v>
      </c>
      <c r="I445" s="496"/>
    </row>
    <row r="446" spans="1:9" ht="48.75" customHeight="1">
      <c r="A446" s="79" t="s">
        <v>272</v>
      </c>
      <c r="B446" s="106" t="s">
        <v>662</v>
      </c>
      <c r="C446" s="106" t="s">
        <v>224</v>
      </c>
      <c r="D446" s="106" t="s">
        <v>219</v>
      </c>
      <c r="E446" s="106"/>
      <c r="F446" s="106"/>
      <c r="G446" s="626">
        <f>G447</f>
        <v>53860.100000000006</v>
      </c>
      <c r="H446" s="626">
        <f>H447+H454</f>
        <v>13938</v>
      </c>
      <c r="I446" s="496"/>
    </row>
    <row r="447" spans="1:9" ht="48.75" customHeight="1">
      <c r="A447" s="527" t="s">
        <v>870</v>
      </c>
      <c r="B447" s="725" t="s">
        <v>662</v>
      </c>
      <c r="C447" s="725" t="s">
        <v>224</v>
      </c>
      <c r="D447" s="725" t="s">
        <v>219</v>
      </c>
      <c r="E447" s="726" t="s">
        <v>1050</v>
      </c>
      <c r="F447" s="725"/>
      <c r="G447" s="727">
        <f>G448+G450+G452</f>
        <v>53860.100000000006</v>
      </c>
      <c r="H447" s="728">
        <v>0</v>
      </c>
      <c r="I447" s="496"/>
    </row>
    <row r="448" spans="1:9" ht="48.75" customHeight="1">
      <c r="A448" s="163" t="s">
        <v>1013</v>
      </c>
      <c r="B448" s="95" t="s">
        <v>662</v>
      </c>
      <c r="C448" s="95" t="s">
        <v>224</v>
      </c>
      <c r="D448" s="95" t="s">
        <v>219</v>
      </c>
      <c r="E448" s="682" t="s">
        <v>1050</v>
      </c>
      <c r="F448" s="95"/>
      <c r="G448" s="108">
        <f>G449</f>
        <v>9238</v>
      </c>
      <c r="H448" s="629">
        <v>0</v>
      </c>
      <c r="I448" s="496"/>
    </row>
    <row r="449" spans="1:9" ht="48.75" customHeight="1">
      <c r="A449" s="153" t="s">
        <v>275</v>
      </c>
      <c r="B449" s="96" t="s">
        <v>662</v>
      </c>
      <c r="C449" s="95" t="s">
        <v>224</v>
      </c>
      <c r="D449" s="95" t="s">
        <v>219</v>
      </c>
      <c r="E449" s="682" t="s">
        <v>873</v>
      </c>
      <c r="F449" s="96" t="s">
        <v>413</v>
      </c>
      <c r="G449" s="109">
        <v>9238</v>
      </c>
      <c r="H449" s="629">
        <v>0</v>
      </c>
      <c r="I449" s="496"/>
    </row>
    <row r="450" spans="1:9" ht="48.75" customHeight="1">
      <c r="A450" s="163" t="s">
        <v>868</v>
      </c>
      <c r="B450" s="95" t="s">
        <v>662</v>
      </c>
      <c r="C450" s="95" t="s">
        <v>224</v>
      </c>
      <c r="D450" s="95" t="s">
        <v>219</v>
      </c>
      <c r="E450" s="95" t="s">
        <v>1113</v>
      </c>
      <c r="F450" s="95"/>
      <c r="G450" s="108">
        <f>G451</f>
        <v>531.4</v>
      </c>
      <c r="H450" s="629">
        <v>0</v>
      </c>
      <c r="I450" s="496"/>
    </row>
    <row r="451" spans="1:9" ht="48.75" customHeight="1">
      <c r="A451" s="153" t="s">
        <v>275</v>
      </c>
      <c r="B451" s="96" t="s">
        <v>662</v>
      </c>
      <c r="C451" s="96" t="s">
        <v>224</v>
      </c>
      <c r="D451" s="96" t="s">
        <v>219</v>
      </c>
      <c r="E451" s="95" t="s">
        <v>1113</v>
      </c>
      <c r="F451" s="96" t="s">
        <v>413</v>
      </c>
      <c r="G451" s="109">
        <v>531.4</v>
      </c>
      <c r="H451" s="629">
        <v>0</v>
      </c>
      <c r="I451" s="496"/>
    </row>
    <row r="452" spans="1:9" ht="48.75" customHeight="1">
      <c r="A452" s="153" t="s">
        <v>799</v>
      </c>
      <c r="B452" s="96" t="s">
        <v>662</v>
      </c>
      <c r="C452" s="96" t="s">
        <v>224</v>
      </c>
      <c r="D452" s="96" t="s">
        <v>219</v>
      </c>
      <c r="E452" s="96" t="s">
        <v>800</v>
      </c>
      <c r="F452" s="96"/>
      <c r="G452" s="109">
        <f>G453</f>
        <v>44090.700000000004</v>
      </c>
      <c r="H452" s="629">
        <v>0</v>
      </c>
      <c r="I452" s="496"/>
    </row>
    <row r="453" spans="1:9" ht="48.75" customHeight="1">
      <c r="A453" s="153" t="s">
        <v>275</v>
      </c>
      <c r="B453" s="96" t="s">
        <v>662</v>
      </c>
      <c r="C453" s="96" t="s">
        <v>224</v>
      </c>
      <c r="D453" s="96" t="s">
        <v>219</v>
      </c>
      <c r="E453" s="96" t="s">
        <v>800</v>
      </c>
      <c r="F453" s="96" t="s">
        <v>413</v>
      </c>
      <c r="G453" s="109">
        <f>95076.1-50985.4</f>
        <v>44090.700000000004</v>
      </c>
      <c r="H453" s="629">
        <v>0</v>
      </c>
      <c r="I453" s="496"/>
    </row>
    <row r="454" spans="1:9" ht="48.75" customHeight="1">
      <c r="A454" s="77" t="s">
        <v>161</v>
      </c>
      <c r="B454" s="95" t="s">
        <v>662</v>
      </c>
      <c r="C454" s="95" t="s">
        <v>224</v>
      </c>
      <c r="D454" s="95" t="s">
        <v>219</v>
      </c>
      <c r="E454" s="95" t="s">
        <v>530</v>
      </c>
      <c r="F454" s="95"/>
      <c r="G454" s="629">
        <f t="shared" ref="G454:H454" si="19">G455</f>
        <v>0</v>
      </c>
      <c r="H454" s="629">
        <f t="shared" si="19"/>
        <v>13938</v>
      </c>
      <c r="I454" s="496"/>
    </row>
    <row r="455" spans="1:9" ht="48.75" customHeight="1">
      <c r="A455" s="77" t="s">
        <v>384</v>
      </c>
      <c r="B455" s="95" t="s">
        <v>662</v>
      </c>
      <c r="C455" s="95" t="s">
        <v>224</v>
      </c>
      <c r="D455" s="95" t="s">
        <v>219</v>
      </c>
      <c r="E455" s="95" t="s">
        <v>510</v>
      </c>
      <c r="F455" s="95"/>
      <c r="G455" s="629">
        <f>G456</f>
        <v>0</v>
      </c>
      <c r="H455" s="629">
        <f>H456</f>
        <v>13938</v>
      </c>
      <c r="I455" s="496"/>
    </row>
    <row r="456" spans="1:9" ht="48.75" customHeight="1">
      <c r="A456" s="153" t="s">
        <v>275</v>
      </c>
      <c r="B456" s="96" t="s">
        <v>662</v>
      </c>
      <c r="C456" s="95" t="s">
        <v>224</v>
      </c>
      <c r="D456" s="95" t="s">
        <v>219</v>
      </c>
      <c r="E456" s="96" t="s">
        <v>510</v>
      </c>
      <c r="F456" s="96" t="s">
        <v>413</v>
      </c>
      <c r="G456" s="629">
        <v>0</v>
      </c>
      <c r="H456" s="629">
        <v>13938</v>
      </c>
      <c r="I456" s="496"/>
    </row>
    <row r="457" spans="1:9" ht="28.5" customHeight="1">
      <c r="A457" s="79" t="s">
        <v>57</v>
      </c>
      <c r="B457" s="103" t="s">
        <v>662</v>
      </c>
      <c r="C457" s="103" t="s">
        <v>224</v>
      </c>
      <c r="D457" s="103" t="s">
        <v>222</v>
      </c>
      <c r="E457" s="103"/>
      <c r="F457" s="103"/>
      <c r="G457" s="104">
        <f>G458</f>
        <v>14104.4</v>
      </c>
      <c r="H457" s="104">
        <f>H458</f>
        <v>13051.582119999999</v>
      </c>
      <c r="I457" s="496"/>
    </row>
    <row r="458" spans="1:9" ht="28.5" customHeight="1">
      <c r="A458" s="79" t="s">
        <v>467</v>
      </c>
      <c r="B458" s="96" t="s">
        <v>662</v>
      </c>
      <c r="C458" s="96" t="s">
        <v>224</v>
      </c>
      <c r="D458" s="96" t="s">
        <v>222</v>
      </c>
      <c r="E458" s="103" t="s">
        <v>914</v>
      </c>
      <c r="F458" s="103"/>
      <c r="G458" s="104">
        <f>G459+G460+G462+G464</f>
        <v>14104.4</v>
      </c>
      <c r="H458" s="104">
        <f>H459+H460+H462+H464</f>
        <v>13051.582119999999</v>
      </c>
      <c r="I458" s="496"/>
    </row>
    <row r="459" spans="1:9" ht="48.75" customHeight="1">
      <c r="A459" s="153" t="s">
        <v>275</v>
      </c>
      <c r="B459" s="96" t="s">
        <v>662</v>
      </c>
      <c r="C459" s="96" t="s">
        <v>224</v>
      </c>
      <c r="D459" s="96" t="s">
        <v>222</v>
      </c>
      <c r="E459" s="150" t="s">
        <v>903</v>
      </c>
      <c r="F459" s="96" t="s">
        <v>413</v>
      </c>
      <c r="G459" s="109">
        <v>1200</v>
      </c>
      <c r="H459" s="109">
        <v>1200</v>
      </c>
      <c r="I459" s="496"/>
    </row>
    <row r="460" spans="1:9" ht="48.75" customHeight="1">
      <c r="A460" s="126" t="s">
        <v>442</v>
      </c>
      <c r="B460" s="96" t="s">
        <v>662</v>
      </c>
      <c r="C460" s="96" t="s">
        <v>224</v>
      </c>
      <c r="D460" s="96" t="s">
        <v>222</v>
      </c>
      <c r="E460" s="96" t="s">
        <v>904</v>
      </c>
      <c r="F460" s="96"/>
      <c r="G460" s="109">
        <f>G461</f>
        <v>500</v>
      </c>
      <c r="H460" s="109">
        <f>H461</f>
        <v>500</v>
      </c>
      <c r="I460" s="577"/>
    </row>
    <row r="461" spans="1:9" ht="48.75" customHeight="1">
      <c r="A461" s="153" t="s">
        <v>275</v>
      </c>
      <c r="B461" s="96" t="s">
        <v>662</v>
      </c>
      <c r="C461" s="96" t="s">
        <v>224</v>
      </c>
      <c r="D461" s="96" t="s">
        <v>222</v>
      </c>
      <c r="E461" s="96" t="s">
        <v>904</v>
      </c>
      <c r="F461" s="96" t="s">
        <v>413</v>
      </c>
      <c r="G461" s="109">
        <v>500</v>
      </c>
      <c r="H461" s="109">
        <v>500</v>
      </c>
      <c r="I461" s="496"/>
    </row>
    <row r="462" spans="1:9" ht="48.75" customHeight="1">
      <c r="A462" s="74" t="s">
        <v>104</v>
      </c>
      <c r="B462" s="97">
        <v>937</v>
      </c>
      <c r="C462" s="95" t="s">
        <v>224</v>
      </c>
      <c r="D462" s="95" t="s">
        <v>222</v>
      </c>
      <c r="E462" s="96" t="s">
        <v>920</v>
      </c>
      <c r="F462" s="95"/>
      <c r="G462" s="109">
        <f>G463</f>
        <v>7404.4</v>
      </c>
      <c r="H462" s="109">
        <f>H463</f>
        <v>7404.4</v>
      </c>
      <c r="I462" s="496"/>
    </row>
    <row r="463" spans="1:9" ht="48.75" customHeight="1">
      <c r="A463" s="153" t="s">
        <v>275</v>
      </c>
      <c r="B463" s="98">
        <v>937</v>
      </c>
      <c r="C463" s="96" t="s">
        <v>224</v>
      </c>
      <c r="D463" s="96" t="s">
        <v>222</v>
      </c>
      <c r="E463" s="96" t="s">
        <v>920</v>
      </c>
      <c r="F463" s="96" t="s">
        <v>413</v>
      </c>
      <c r="G463" s="109">
        <v>7404.4</v>
      </c>
      <c r="H463" s="109">
        <v>7404.4</v>
      </c>
      <c r="I463" s="496"/>
    </row>
    <row r="464" spans="1:9" ht="48.75" customHeight="1">
      <c r="A464" s="153" t="s">
        <v>275</v>
      </c>
      <c r="B464" s="96" t="s">
        <v>662</v>
      </c>
      <c r="C464" s="96" t="s">
        <v>224</v>
      </c>
      <c r="D464" s="96" t="s">
        <v>222</v>
      </c>
      <c r="E464" s="96" t="s">
        <v>905</v>
      </c>
      <c r="F464" s="96" t="s">
        <v>413</v>
      </c>
      <c r="G464" s="109">
        <v>5000</v>
      </c>
      <c r="H464" s="109">
        <f>5000-1052.81788</f>
        <v>3947.1821199999999</v>
      </c>
      <c r="I464" s="496"/>
    </row>
    <row r="465" spans="1:10" ht="35.25" customHeight="1">
      <c r="A465" s="627" t="s">
        <v>273</v>
      </c>
      <c r="B465" s="624" t="s">
        <v>662</v>
      </c>
      <c r="C465" s="625" t="s">
        <v>225</v>
      </c>
      <c r="D465" s="625"/>
      <c r="E465" s="624"/>
      <c r="F465" s="624"/>
      <c r="G465" s="626">
        <f>G466</f>
        <v>24367.64819</v>
      </c>
      <c r="H465" s="626">
        <f>H466</f>
        <v>25839.64819</v>
      </c>
      <c r="I465" s="496"/>
    </row>
    <row r="466" spans="1:10" ht="35.25" customHeight="1">
      <c r="A466" s="628" t="s">
        <v>54</v>
      </c>
      <c r="B466" s="624" t="s">
        <v>662</v>
      </c>
      <c r="C466" s="625" t="s">
        <v>225</v>
      </c>
      <c r="D466" s="625" t="s">
        <v>225</v>
      </c>
      <c r="E466" s="624"/>
      <c r="F466" s="624"/>
      <c r="G466" s="626">
        <f>G467+G470+G474+G472</f>
        <v>24367.64819</v>
      </c>
      <c r="H466" s="626">
        <f>H467+H470+H474</f>
        <v>25839.64819</v>
      </c>
      <c r="I466" s="496"/>
    </row>
    <row r="467" spans="1:10" ht="35.25" customHeight="1">
      <c r="A467" s="74" t="s">
        <v>394</v>
      </c>
      <c r="B467" s="150" t="s">
        <v>662</v>
      </c>
      <c r="C467" s="96" t="s">
        <v>225</v>
      </c>
      <c r="D467" s="96" t="s">
        <v>225</v>
      </c>
      <c r="E467" s="95" t="s">
        <v>528</v>
      </c>
      <c r="F467" s="95"/>
      <c r="G467" s="109">
        <f>G468+G469</f>
        <v>2434.9700000000003</v>
      </c>
      <c r="H467" s="109">
        <f>H468+H469</f>
        <v>2434.9700000000003</v>
      </c>
      <c r="I467" s="496"/>
    </row>
    <row r="468" spans="1:10" ht="35.25" customHeight="1">
      <c r="A468" s="76" t="s">
        <v>160</v>
      </c>
      <c r="B468" s="150" t="s">
        <v>662</v>
      </c>
      <c r="C468" s="96" t="s">
        <v>225</v>
      </c>
      <c r="D468" s="96" t="s">
        <v>225</v>
      </c>
      <c r="E468" s="96" t="s">
        <v>528</v>
      </c>
      <c r="F468" s="96" t="s">
        <v>412</v>
      </c>
      <c r="G468" s="109">
        <v>1870.1766500000001</v>
      </c>
      <c r="H468" s="621">
        <v>1870.1766500000001</v>
      </c>
      <c r="I468" s="496"/>
    </row>
    <row r="469" spans="1:10" ht="52.5" customHeight="1">
      <c r="A469" s="196" t="s">
        <v>430</v>
      </c>
      <c r="B469" s="150" t="s">
        <v>662</v>
      </c>
      <c r="C469" s="96" t="s">
        <v>225</v>
      </c>
      <c r="D469" s="96" t="s">
        <v>225</v>
      </c>
      <c r="E469" s="96" t="s">
        <v>528</v>
      </c>
      <c r="F469" s="96" t="s">
        <v>431</v>
      </c>
      <c r="G469" s="109">
        <v>564.79335000000003</v>
      </c>
      <c r="H469" s="621">
        <v>564.79335000000003</v>
      </c>
      <c r="I469" s="577"/>
      <c r="J469" s="85"/>
    </row>
    <row r="470" spans="1:10" ht="46.5" customHeight="1">
      <c r="A470" s="173" t="s">
        <v>435</v>
      </c>
      <c r="B470" s="150" t="s">
        <v>662</v>
      </c>
      <c r="C470" s="96" t="s">
        <v>225</v>
      </c>
      <c r="D470" s="96" t="s">
        <v>225</v>
      </c>
      <c r="E470" s="150" t="s">
        <v>1</v>
      </c>
      <c r="F470" s="150"/>
      <c r="G470" s="109">
        <f>G471</f>
        <v>324.67819000000003</v>
      </c>
      <c r="H470" s="383">
        <f>H471</f>
        <v>332.67819000000003</v>
      </c>
      <c r="I470" s="496"/>
    </row>
    <row r="471" spans="1:10" ht="40.5" customHeight="1">
      <c r="A471" s="153" t="s">
        <v>275</v>
      </c>
      <c r="B471" s="150" t="s">
        <v>662</v>
      </c>
      <c r="C471" s="96" t="s">
        <v>225</v>
      </c>
      <c r="D471" s="96" t="s">
        <v>225</v>
      </c>
      <c r="E471" s="150" t="s">
        <v>1</v>
      </c>
      <c r="F471" s="150" t="s">
        <v>413</v>
      </c>
      <c r="G471" s="109">
        <f>346.3-13.62181-8</f>
        <v>324.67819000000003</v>
      </c>
      <c r="H471" s="383">
        <f>346.3-13.62181</f>
        <v>332.67819000000003</v>
      </c>
      <c r="I471" s="496"/>
    </row>
    <row r="472" spans="1:10" ht="21" customHeight="1">
      <c r="A472" s="3" t="s">
        <v>267</v>
      </c>
      <c r="B472" s="787">
        <v>937</v>
      </c>
      <c r="C472" s="96" t="s">
        <v>225</v>
      </c>
      <c r="D472" s="96" t="s">
        <v>225</v>
      </c>
      <c r="E472" s="96" t="s">
        <v>4</v>
      </c>
      <c r="F472" s="150"/>
      <c r="G472" s="109">
        <f>G473</f>
        <v>8</v>
      </c>
      <c r="H472" s="383">
        <f>H473</f>
        <v>0</v>
      </c>
      <c r="I472" s="496"/>
    </row>
    <row r="473" spans="1:10" ht="40.5" customHeight="1">
      <c r="A473" s="76" t="s">
        <v>415</v>
      </c>
      <c r="B473" s="787">
        <v>937</v>
      </c>
      <c r="C473" s="96" t="s">
        <v>225</v>
      </c>
      <c r="D473" s="96" t="s">
        <v>225</v>
      </c>
      <c r="E473" s="96" t="s">
        <v>4</v>
      </c>
      <c r="F473" s="210">
        <v>851</v>
      </c>
      <c r="G473" s="109">
        <v>8</v>
      </c>
      <c r="H473" s="383">
        <v>0</v>
      </c>
      <c r="I473" s="496"/>
    </row>
    <row r="474" spans="1:10" ht="40.5" customHeight="1">
      <c r="A474" s="153" t="s">
        <v>802</v>
      </c>
      <c r="B474" s="150" t="s">
        <v>662</v>
      </c>
      <c r="C474" s="96" t="s">
        <v>225</v>
      </c>
      <c r="D474" s="96" t="s">
        <v>225</v>
      </c>
      <c r="E474" s="96" t="s">
        <v>803</v>
      </c>
      <c r="F474" s="96"/>
      <c r="G474" s="109">
        <f>G475</f>
        <v>21600</v>
      </c>
      <c r="H474" s="109">
        <f>H475</f>
        <v>23072</v>
      </c>
      <c r="I474" s="496"/>
      <c r="J474" s="85"/>
    </row>
    <row r="475" spans="1:10" ht="40.5" customHeight="1">
      <c r="A475" s="153" t="s">
        <v>807</v>
      </c>
      <c r="B475" s="150" t="s">
        <v>662</v>
      </c>
      <c r="C475" s="96" t="s">
        <v>225</v>
      </c>
      <c r="D475" s="96" t="s">
        <v>225</v>
      </c>
      <c r="E475" s="96" t="s">
        <v>803</v>
      </c>
      <c r="F475" s="96" t="s">
        <v>105</v>
      </c>
      <c r="G475" s="109">
        <v>21600</v>
      </c>
      <c r="H475" s="109">
        <v>23072</v>
      </c>
      <c r="I475" s="496" t="s">
        <v>804</v>
      </c>
      <c r="J475" s="70" t="s">
        <v>805</v>
      </c>
    </row>
    <row r="476" spans="1:10">
      <c r="A476" s="640" t="s">
        <v>466</v>
      </c>
      <c r="B476" s="96" t="s">
        <v>464</v>
      </c>
      <c r="C476" s="96" t="s">
        <v>465</v>
      </c>
      <c r="D476" s="96" t="s">
        <v>465</v>
      </c>
      <c r="E476" s="96"/>
      <c r="F476" s="96"/>
      <c r="G476" s="109">
        <f t="shared" ref="G476:H480" si="20">G477</f>
        <v>7111.3425000000007</v>
      </c>
      <c r="H476" s="109">
        <f t="shared" si="20"/>
        <v>14435.654999999999</v>
      </c>
      <c r="I476" s="496"/>
    </row>
    <row r="477" spans="1:10">
      <c r="A477" s="377" t="s">
        <v>466</v>
      </c>
      <c r="B477" s="96" t="s">
        <v>464</v>
      </c>
      <c r="C477" s="96" t="s">
        <v>465</v>
      </c>
      <c r="D477" s="96" t="s">
        <v>465</v>
      </c>
      <c r="E477" s="96" t="s">
        <v>3</v>
      </c>
      <c r="F477" s="96"/>
      <c r="G477" s="109">
        <f t="shared" si="20"/>
        <v>7111.3425000000007</v>
      </c>
      <c r="H477" s="109">
        <f t="shared" si="20"/>
        <v>14435.654999999999</v>
      </c>
      <c r="I477" s="496"/>
    </row>
    <row r="478" spans="1:10">
      <c r="A478" s="377" t="s">
        <v>468</v>
      </c>
      <c r="B478" s="96" t="s">
        <v>464</v>
      </c>
      <c r="C478" s="96" t="s">
        <v>465</v>
      </c>
      <c r="D478" s="96" t="s">
        <v>465</v>
      </c>
      <c r="E478" s="96" t="s">
        <v>530</v>
      </c>
      <c r="F478" s="96"/>
      <c r="G478" s="109">
        <f t="shared" si="20"/>
        <v>7111.3425000000007</v>
      </c>
      <c r="H478" s="109">
        <f t="shared" si="20"/>
        <v>14435.654999999999</v>
      </c>
      <c r="I478" s="496"/>
    </row>
    <row r="479" spans="1:10">
      <c r="A479" s="377" t="s">
        <v>467</v>
      </c>
      <c r="B479" s="96" t="s">
        <v>464</v>
      </c>
      <c r="C479" s="96" t="s">
        <v>465</v>
      </c>
      <c r="D479" s="96" t="s">
        <v>465</v>
      </c>
      <c r="E479" s="376" t="s">
        <v>530</v>
      </c>
      <c r="F479" s="96"/>
      <c r="G479" s="109">
        <f t="shared" si="20"/>
        <v>7111.3425000000007</v>
      </c>
      <c r="H479" s="109">
        <f t="shared" si="20"/>
        <v>14435.654999999999</v>
      </c>
      <c r="I479" s="496"/>
    </row>
    <row r="480" spans="1:10">
      <c r="A480" s="377" t="s">
        <v>466</v>
      </c>
      <c r="B480" s="96" t="s">
        <v>464</v>
      </c>
      <c r="C480" s="96" t="s">
        <v>465</v>
      </c>
      <c r="D480" s="96" t="s">
        <v>465</v>
      </c>
      <c r="E480" s="376" t="s">
        <v>511</v>
      </c>
      <c r="F480" s="96"/>
      <c r="G480" s="109">
        <f t="shared" si="20"/>
        <v>7111.3425000000007</v>
      </c>
      <c r="H480" s="109">
        <f t="shared" si="20"/>
        <v>14435.654999999999</v>
      </c>
      <c r="I480" s="496"/>
    </row>
    <row r="481" spans="1:12">
      <c r="A481" s="377" t="s">
        <v>466</v>
      </c>
      <c r="B481" s="96" t="s">
        <v>464</v>
      </c>
      <c r="C481" s="96" t="s">
        <v>465</v>
      </c>
      <c r="D481" s="96" t="s">
        <v>465</v>
      </c>
      <c r="E481" s="376" t="s">
        <v>511</v>
      </c>
      <c r="F481" s="96" t="s">
        <v>464</v>
      </c>
      <c r="G481" s="109">
        <f>(пр.5!G11+пр.7!D14)*2.5%</f>
        <v>7111.3425000000007</v>
      </c>
      <c r="H481" s="109">
        <f>(пр.5!H11+пр.7!E14)*5%</f>
        <v>14435.654999999999</v>
      </c>
      <c r="I481" s="496"/>
    </row>
    <row r="482" spans="1:12" ht="21.75" customHeight="1">
      <c r="A482" s="127" t="s">
        <v>120</v>
      </c>
      <c r="B482" s="96"/>
      <c r="C482" s="96"/>
      <c r="D482" s="96"/>
      <c r="E482" s="96"/>
      <c r="F482" s="102"/>
      <c r="G482" s="104">
        <f>G13+G38+G68+G268+G445+G476</f>
        <v>961519.1</v>
      </c>
      <c r="H482" s="104">
        <f>H13+H38+H68+H268+H445+H476</f>
        <v>921767.70000000007</v>
      </c>
      <c r="I482" s="577"/>
      <c r="J482" s="577"/>
      <c r="K482" s="85"/>
      <c r="L482" s="85"/>
    </row>
    <row r="483" spans="1:12" ht="29.25" customHeight="1">
      <c r="G483" s="85">
        <f>пр.5!G11+пр.7!D12</f>
        <v>961519.10000000009</v>
      </c>
      <c r="H483" s="85">
        <f>пр.5!H11+пр.7!E12</f>
        <v>921767.7</v>
      </c>
    </row>
    <row r="484" spans="1:12" ht="26.25" customHeight="1">
      <c r="G484" s="85">
        <f>G483-G482</f>
        <v>0</v>
      </c>
      <c r="H484" s="85">
        <f>H483-H482</f>
        <v>0</v>
      </c>
    </row>
    <row r="486" spans="1:12">
      <c r="I486" s="576"/>
      <c r="J486" s="85"/>
    </row>
  </sheetData>
  <autoFilter ref="A12:R484"/>
  <mergeCells count="8">
    <mergeCell ref="E7:H7"/>
    <mergeCell ref="A9:G10"/>
    <mergeCell ref="E1:H1"/>
    <mergeCell ref="E2:H2"/>
    <mergeCell ref="F3:H3"/>
    <mergeCell ref="F4:H4"/>
    <mergeCell ref="F5:H5"/>
    <mergeCell ref="E6:H6"/>
  </mergeCells>
  <hyperlinks>
    <hyperlink ref="A57" r:id="rId1" tooltip="Муниципальные образования" display="http://www.pandia.ru/text/category/munitcipalmznie_obrazovaniya/"/>
    <hyperlink ref="A60" r:id="rId2" tooltip="Муниципальные образования" display="http://www.pandia.ru/text/category/munitcipalmznie_obrazovaniya/"/>
  </hyperlinks>
  <pageMargins left="0.70866141732283472" right="0.70866141732283472" top="0.74803149606299213" bottom="0.74803149606299213" header="0.31496062992125984" footer="0.31496062992125984"/>
  <pageSetup paperSize="9" scale="50" orientation="portrait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G31"/>
  <sheetViews>
    <sheetView view="pageBreakPreview" workbookViewId="0">
      <selection activeCell="C31" sqref="A1:C31"/>
    </sheetView>
  </sheetViews>
  <sheetFormatPr defaultRowHeight="12.75"/>
  <cols>
    <col min="1" max="1" width="27" style="4" customWidth="1"/>
    <col min="2" max="2" width="53.28515625" style="4" customWidth="1"/>
    <col min="3" max="3" width="19.5703125" style="4" customWidth="1"/>
    <col min="4" max="5" width="10.85546875" style="4" bestFit="1" customWidth="1"/>
    <col min="6" max="6" width="9.140625" style="4"/>
    <col min="7" max="7" width="12.85546875" style="4" bestFit="1" customWidth="1"/>
    <col min="8" max="16384" width="9.140625" style="4"/>
  </cols>
  <sheetData>
    <row r="1" spans="1:6">
      <c r="C1" s="22" t="s">
        <v>463</v>
      </c>
    </row>
    <row r="2" spans="1:6">
      <c r="C2" s="22" t="s">
        <v>204</v>
      </c>
    </row>
    <row r="3" spans="1:6">
      <c r="C3" s="22" t="s">
        <v>306</v>
      </c>
    </row>
    <row r="4" spans="1:6">
      <c r="A4" s="29"/>
      <c r="C4" s="22" t="s">
        <v>153</v>
      </c>
    </row>
    <row r="5" spans="1:6">
      <c r="A5" s="37"/>
      <c r="C5" s="22" t="s">
        <v>307</v>
      </c>
    </row>
    <row r="6" spans="1:6">
      <c r="A6" s="38"/>
      <c r="C6" s="696" t="s">
        <v>1084</v>
      </c>
    </row>
    <row r="7" spans="1:6">
      <c r="A7" s="38"/>
      <c r="B7" s="866" t="s">
        <v>1102</v>
      </c>
      <c r="C7" s="866"/>
      <c r="D7" s="156"/>
    </row>
    <row r="8" spans="1:6">
      <c r="A8" s="24"/>
      <c r="B8" s="24"/>
      <c r="C8" s="24"/>
    </row>
    <row r="9" spans="1:6">
      <c r="A9" s="852" t="s">
        <v>1082</v>
      </c>
      <c r="B9" s="852"/>
      <c r="C9" s="852"/>
    </row>
    <row r="10" spans="1:6" ht="26.25" customHeight="1">
      <c r="A10" s="891"/>
      <c r="B10" s="891"/>
      <c r="C10" s="891"/>
    </row>
    <row r="11" spans="1:6">
      <c r="A11" s="40"/>
      <c r="C11" s="22" t="s">
        <v>155</v>
      </c>
    </row>
    <row r="12" spans="1:6" ht="21" customHeight="1">
      <c r="A12" s="31" t="s">
        <v>80</v>
      </c>
      <c r="B12" s="31" t="s">
        <v>209</v>
      </c>
      <c r="C12" s="31" t="s">
        <v>81</v>
      </c>
    </row>
    <row r="13" spans="1:6">
      <c r="A13" s="48" t="s">
        <v>94</v>
      </c>
      <c r="B13" s="25" t="s">
        <v>82</v>
      </c>
      <c r="C13" s="226">
        <f>C14</f>
        <v>-16900</v>
      </c>
      <c r="F13" s="239"/>
    </row>
    <row r="14" spans="1:6" s="18" customFormat="1" ht="25.5">
      <c r="A14" s="49" t="s">
        <v>95</v>
      </c>
      <c r="B14" s="34" t="s">
        <v>83</v>
      </c>
      <c r="C14" s="227">
        <f>C15+C23+C20</f>
        <v>-16900</v>
      </c>
    </row>
    <row r="15" spans="1:6" s="18" customFormat="1" ht="25.5">
      <c r="A15" s="49" t="s">
        <v>96</v>
      </c>
      <c r="B15" s="34" t="s">
        <v>205</v>
      </c>
      <c r="C15" s="227">
        <f>C16+C17</f>
        <v>-16900</v>
      </c>
      <c r="D15" s="240"/>
      <c r="E15" s="240"/>
    </row>
    <row r="16" spans="1:6" ht="26.25" hidden="1" customHeight="1">
      <c r="A16" s="48" t="s">
        <v>97</v>
      </c>
      <c r="B16" s="25" t="s">
        <v>179</v>
      </c>
      <c r="C16" s="226">
        <v>0</v>
      </c>
    </row>
    <row r="17" spans="1:7" ht="38.25">
      <c r="A17" s="48" t="s">
        <v>98</v>
      </c>
      <c r="B17" s="25" t="s">
        <v>180</v>
      </c>
      <c r="C17" s="226">
        <f>C19</f>
        <v>-16900</v>
      </c>
    </row>
    <row r="18" spans="1:7" ht="38.25" hidden="1">
      <c r="A18" s="48" t="s">
        <v>99</v>
      </c>
      <c r="B18" s="25" t="s">
        <v>12</v>
      </c>
      <c r="C18" s="226">
        <v>0</v>
      </c>
    </row>
    <row r="19" spans="1:7" ht="38.25">
      <c r="A19" s="48" t="s">
        <v>100</v>
      </c>
      <c r="B19" s="25" t="s">
        <v>13</v>
      </c>
      <c r="C19" s="226">
        <v>-16900</v>
      </c>
    </row>
    <row r="20" spans="1:7" ht="25.5" hidden="1">
      <c r="A20" s="49" t="s">
        <v>443</v>
      </c>
      <c r="B20" s="34" t="s">
        <v>444</v>
      </c>
      <c r="C20" s="227">
        <f>C21</f>
        <v>0</v>
      </c>
    </row>
    <row r="21" spans="1:7" ht="25.5" hidden="1">
      <c r="A21" s="48" t="s">
        <v>508</v>
      </c>
      <c r="B21" s="25" t="s">
        <v>165</v>
      </c>
      <c r="C21" s="226">
        <v>0</v>
      </c>
    </row>
    <row r="22" spans="1:7" ht="24.75" hidden="1" customHeight="1">
      <c r="A22" s="48" t="s">
        <v>509</v>
      </c>
      <c r="B22" s="25" t="s">
        <v>166</v>
      </c>
      <c r="C22" s="226">
        <v>0</v>
      </c>
    </row>
    <row r="23" spans="1:7" s="18" customFormat="1" ht="25.5">
      <c r="A23" s="49" t="s">
        <v>101</v>
      </c>
      <c r="B23" s="34" t="s">
        <v>181</v>
      </c>
      <c r="C23" s="227">
        <f>C24+C25</f>
        <v>0</v>
      </c>
      <c r="G23" s="240"/>
    </row>
    <row r="24" spans="1:7">
      <c r="A24" s="48" t="s">
        <v>102</v>
      </c>
      <c r="B24" s="25" t="s">
        <v>182</v>
      </c>
      <c r="C24" s="228">
        <f>C26</f>
        <v>-1110983.1000000001</v>
      </c>
      <c r="G24" s="239"/>
    </row>
    <row r="25" spans="1:7">
      <c r="A25" s="48" t="s">
        <v>296</v>
      </c>
      <c r="B25" s="25" t="s">
        <v>183</v>
      </c>
      <c r="C25" s="228">
        <f>C29</f>
        <v>1110983.1000000001</v>
      </c>
    </row>
    <row r="26" spans="1:7">
      <c r="A26" s="48" t="s">
        <v>297</v>
      </c>
      <c r="B26" s="25" t="s">
        <v>88</v>
      </c>
      <c r="C26" s="228">
        <f>C27</f>
        <v>-1110983.1000000001</v>
      </c>
      <c r="D26" s="4" t="s">
        <v>207</v>
      </c>
    </row>
    <row r="27" spans="1:7">
      <c r="A27" s="48" t="s">
        <v>298</v>
      </c>
      <c r="B27" s="25" t="s">
        <v>89</v>
      </c>
      <c r="C27" s="228">
        <f>C28</f>
        <v>-1110983.1000000001</v>
      </c>
      <c r="G27" s="239"/>
    </row>
    <row r="28" spans="1:7" ht="25.5">
      <c r="A28" s="48" t="s">
        <v>299</v>
      </c>
      <c r="B28" s="25" t="s">
        <v>90</v>
      </c>
      <c r="C28" s="228">
        <f>-пр.4!D11-'пр.6 '!D12-'пр.12 2021г'!C21-C18</f>
        <v>-1110983.1000000001</v>
      </c>
    </row>
    <row r="29" spans="1:7">
      <c r="A29" s="48" t="s">
        <v>300</v>
      </c>
      <c r="B29" s="25" t="s">
        <v>91</v>
      </c>
      <c r="C29" s="228">
        <f>'пр. 10 2020г'!G485-'пр.12 2021г'!C17</f>
        <v>1110983.1000000001</v>
      </c>
      <c r="D29" s="4" t="s">
        <v>208</v>
      </c>
    </row>
    <row r="30" spans="1:7">
      <c r="A30" s="48" t="s">
        <v>301</v>
      </c>
      <c r="B30" s="25" t="s">
        <v>92</v>
      </c>
      <c r="C30" s="228">
        <f>C29</f>
        <v>1110983.1000000001</v>
      </c>
    </row>
    <row r="31" spans="1:7" ht="25.5">
      <c r="A31" s="229" t="s">
        <v>302</v>
      </c>
      <c r="B31" s="230" t="s">
        <v>93</v>
      </c>
      <c r="C31" s="231">
        <f>C30</f>
        <v>1110983.1000000001</v>
      </c>
    </row>
  </sheetData>
  <mergeCells count="2">
    <mergeCell ref="B7:C7"/>
    <mergeCell ref="A9:C10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7"/>
  <sheetViews>
    <sheetView view="pageBreakPreview" zoomScale="73" zoomScaleSheetLayoutView="73" workbookViewId="0">
      <selection activeCell="D32" sqref="A1:D32"/>
    </sheetView>
  </sheetViews>
  <sheetFormatPr defaultRowHeight="12.75"/>
  <cols>
    <col min="1" max="1" width="27" style="4" customWidth="1"/>
    <col min="2" max="2" width="53.28515625" style="4" customWidth="1"/>
    <col min="3" max="4" width="15.5703125" style="4" customWidth="1"/>
    <col min="5" max="5" width="9.140625" style="4"/>
    <col min="6" max="6" width="10.85546875" style="4" customWidth="1"/>
    <col min="7" max="7" width="9.140625" style="4"/>
    <col min="8" max="8" width="9.42578125" style="4" bestFit="1" customWidth="1"/>
    <col min="9" max="10" width="9.140625" style="4"/>
    <col min="11" max="11" width="71.5703125" style="4" customWidth="1"/>
    <col min="12" max="12" width="9.28515625" style="4" bestFit="1" customWidth="1"/>
    <col min="13" max="16" width="9.140625" style="4"/>
    <col min="17" max="20" width="15.7109375" style="4" bestFit="1" customWidth="1"/>
    <col min="21" max="16384" width="9.140625" style="4"/>
  </cols>
  <sheetData>
    <row r="1" spans="1:7">
      <c r="D1" s="22" t="s">
        <v>471</v>
      </c>
    </row>
    <row r="2" spans="1:7">
      <c r="D2" s="22" t="s">
        <v>204</v>
      </c>
    </row>
    <row r="3" spans="1:7">
      <c r="D3" s="22" t="s">
        <v>306</v>
      </c>
    </row>
    <row r="4" spans="1:7">
      <c r="A4" s="29"/>
      <c r="D4" s="22" t="s">
        <v>153</v>
      </c>
    </row>
    <row r="5" spans="1:7">
      <c r="A5" s="37"/>
      <c r="D5" s="22" t="s">
        <v>307</v>
      </c>
    </row>
    <row r="6" spans="1:7">
      <c r="A6" s="38"/>
      <c r="C6" s="22"/>
      <c r="D6" s="696" t="s">
        <v>1084</v>
      </c>
    </row>
    <row r="7" spans="1:7">
      <c r="A7" s="38"/>
      <c r="B7" s="866" t="s">
        <v>1085</v>
      </c>
      <c r="C7" s="866"/>
      <c r="D7" s="866"/>
    </row>
    <row r="8" spans="1:7">
      <c r="A8" s="24"/>
      <c r="B8" s="24"/>
      <c r="C8" s="24"/>
      <c r="D8" s="24"/>
    </row>
    <row r="9" spans="1:7" ht="12.75" customHeight="1">
      <c r="A9" s="852" t="s">
        <v>1083</v>
      </c>
      <c r="B9" s="852"/>
      <c r="C9" s="852"/>
      <c r="D9" s="852"/>
    </row>
    <row r="10" spans="1:7" ht="26.25" customHeight="1">
      <c r="A10" s="852"/>
      <c r="B10" s="852"/>
      <c r="C10" s="852"/>
      <c r="D10" s="852"/>
    </row>
    <row r="11" spans="1:7">
      <c r="A11" s="40"/>
      <c r="D11" s="22" t="s">
        <v>155</v>
      </c>
    </row>
    <row r="12" spans="1:7">
      <c r="A12" s="892" t="s">
        <v>80</v>
      </c>
      <c r="B12" s="892" t="s">
        <v>209</v>
      </c>
      <c r="C12" s="489" t="s">
        <v>782</v>
      </c>
      <c r="D12" s="489" t="s">
        <v>1103</v>
      </c>
    </row>
    <row r="13" spans="1:7" ht="21" customHeight="1">
      <c r="A13" s="893"/>
      <c r="B13" s="893"/>
      <c r="C13" s="31" t="s">
        <v>81</v>
      </c>
      <c r="D13" s="31" t="s">
        <v>81</v>
      </c>
    </row>
    <row r="14" spans="1:7">
      <c r="A14" s="48" t="s">
        <v>94</v>
      </c>
      <c r="B14" s="25" t="s">
        <v>82</v>
      </c>
      <c r="C14" s="226">
        <f>C15</f>
        <v>0</v>
      </c>
      <c r="D14" s="226">
        <f>D15</f>
        <v>0</v>
      </c>
      <c r="G14" s="239"/>
    </row>
    <row r="15" spans="1:7" s="18" customFormat="1" ht="25.5">
      <c r="A15" s="49" t="s">
        <v>95</v>
      </c>
      <c r="B15" s="34" t="s">
        <v>83</v>
      </c>
      <c r="C15" s="227">
        <v>0</v>
      </c>
      <c r="D15" s="227">
        <v>0</v>
      </c>
    </row>
    <row r="16" spans="1:7" s="18" customFormat="1" ht="25.5" hidden="1">
      <c r="A16" s="49" t="s">
        <v>96</v>
      </c>
      <c r="B16" s="34" t="s">
        <v>205</v>
      </c>
      <c r="C16" s="227">
        <f>C17+C18</f>
        <v>0</v>
      </c>
      <c r="D16" s="227">
        <f>D17+D18</f>
        <v>0</v>
      </c>
      <c r="F16" s="240"/>
    </row>
    <row r="17" spans="1:4" ht="42" hidden="1" customHeight="1">
      <c r="A17" s="48" t="s">
        <v>97</v>
      </c>
      <c r="B17" s="25" t="s">
        <v>179</v>
      </c>
      <c r="C17" s="226">
        <v>0</v>
      </c>
      <c r="D17" s="226">
        <v>0</v>
      </c>
    </row>
    <row r="18" spans="1:4" ht="38.25" hidden="1">
      <c r="A18" s="48" t="s">
        <v>98</v>
      </c>
      <c r="B18" s="25" t="s">
        <v>180</v>
      </c>
      <c r="C18" s="226">
        <v>0</v>
      </c>
      <c r="D18" s="226">
        <v>0</v>
      </c>
    </row>
    <row r="19" spans="1:4" ht="38.25" hidden="1">
      <c r="A19" s="48" t="s">
        <v>99</v>
      </c>
      <c r="B19" s="25" t="s">
        <v>12</v>
      </c>
      <c r="C19" s="226">
        <v>0</v>
      </c>
      <c r="D19" s="226">
        <v>0</v>
      </c>
    </row>
    <row r="20" spans="1:4" ht="38.25" hidden="1">
      <c r="A20" s="48" t="s">
        <v>100</v>
      </c>
      <c r="B20" s="25" t="s">
        <v>13</v>
      </c>
      <c r="C20" s="226">
        <v>0</v>
      </c>
      <c r="D20" s="226">
        <v>0</v>
      </c>
    </row>
    <row r="21" spans="1:4" ht="25.5" hidden="1">
      <c r="A21" s="49" t="s">
        <v>443</v>
      </c>
      <c r="B21" s="34" t="s">
        <v>444</v>
      </c>
      <c r="C21" s="227">
        <v>0</v>
      </c>
      <c r="D21" s="227">
        <v>0</v>
      </c>
    </row>
    <row r="22" spans="1:4" ht="25.5" hidden="1">
      <c r="A22" s="48" t="s">
        <v>508</v>
      </c>
      <c r="B22" s="579" t="s">
        <v>165</v>
      </c>
      <c r="C22" s="226">
        <v>0</v>
      </c>
      <c r="D22" s="146">
        <v>0</v>
      </c>
    </row>
    <row r="23" spans="1:4" ht="25.5" hidden="1">
      <c r="A23" s="48" t="s">
        <v>509</v>
      </c>
      <c r="B23" s="579" t="s">
        <v>166</v>
      </c>
      <c r="C23" s="226">
        <v>0</v>
      </c>
      <c r="D23" s="146">
        <v>0</v>
      </c>
    </row>
    <row r="24" spans="1:4" ht="25.5">
      <c r="A24" s="49" t="s">
        <v>101</v>
      </c>
      <c r="B24" s="34" t="s">
        <v>181</v>
      </c>
      <c r="C24" s="227">
        <f>C25+C26</f>
        <v>0</v>
      </c>
      <c r="D24" s="227">
        <f>D25+D26</f>
        <v>0</v>
      </c>
    </row>
    <row r="25" spans="1:4">
      <c r="A25" s="48" t="s">
        <v>102</v>
      </c>
      <c r="B25" s="579" t="s">
        <v>182</v>
      </c>
      <c r="C25" s="228">
        <f>C27</f>
        <v>-961519.10000000009</v>
      </c>
      <c r="D25" s="584">
        <f>D27</f>
        <v>-921767.7</v>
      </c>
    </row>
    <row r="26" spans="1:4">
      <c r="A26" s="48" t="s">
        <v>296</v>
      </c>
      <c r="B26" s="579" t="s">
        <v>183</v>
      </c>
      <c r="C26" s="228">
        <f>C30</f>
        <v>961519.1</v>
      </c>
      <c r="D26" s="584">
        <f>D29</f>
        <v>921767.70000000007</v>
      </c>
    </row>
    <row r="27" spans="1:4">
      <c r="A27" s="48" t="s">
        <v>297</v>
      </c>
      <c r="B27" s="579" t="s">
        <v>88</v>
      </c>
      <c r="C27" s="228">
        <f>C28</f>
        <v>-961519.10000000009</v>
      </c>
      <c r="D27" s="584">
        <f>D28</f>
        <v>-921767.7</v>
      </c>
    </row>
    <row r="28" spans="1:4">
      <c r="A28" s="48" t="s">
        <v>298</v>
      </c>
      <c r="B28" s="579" t="s">
        <v>89</v>
      </c>
      <c r="C28" s="228">
        <f>-C29</f>
        <v>-961519.10000000009</v>
      </c>
      <c r="D28" s="584">
        <f>-пр.5!H11-пр.7!E12</f>
        <v>-921767.7</v>
      </c>
    </row>
    <row r="29" spans="1:4" ht="25.5">
      <c r="A29" s="48" t="s">
        <v>299</v>
      </c>
      <c r="B29" s="579" t="s">
        <v>90</v>
      </c>
      <c r="C29" s="228">
        <f>пр.5!G11+пр.7!D12</f>
        <v>961519.10000000009</v>
      </c>
      <c r="D29" s="583">
        <f>D30</f>
        <v>921767.70000000007</v>
      </c>
    </row>
    <row r="30" spans="1:4">
      <c r="A30" s="48" t="s">
        <v>300</v>
      </c>
      <c r="B30" s="579" t="s">
        <v>91</v>
      </c>
      <c r="C30" s="228">
        <f>C31</f>
        <v>961519.1</v>
      </c>
      <c r="D30" s="583">
        <f>D31</f>
        <v>921767.70000000007</v>
      </c>
    </row>
    <row r="31" spans="1:4">
      <c r="A31" s="229" t="s">
        <v>301</v>
      </c>
      <c r="B31" s="230" t="s">
        <v>92</v>
      </c>
      <c r="C31" s="228">
        <f>C32</f>
        <v>961519.1</v>
      </c>
      <c r="D31" s="583">
        <f>D32</f>
        <v>921767.70000000007</v>
      </c>
    </row>
    <row r="32" spans="1:4" ht="25.5">
      <c r="A32" s="536" t="s">
        <v>302</v>
      </c>
      <c r="B32" s="579" t="s">
        <v>93</v>
      </c>
      <c r="C32" s="228">
        <f>'пр.9 2021-2022г'!D55+C18</f>
        <v>961519.1</v>
      </c>
      <c r="D32" s="228">
        <f>'пр.11 2021-2022г'!H482+'пр.13 2022-2023г'!D18</f>
        <v>921767.70000000007</v>
      </c>
    </row>
    <row r="37" spans="18:18">
      <c r="R37" s="4" t="s">
        <v>122</v>
      </c>
    </row>
  </sheetData>
  <mergeCells count="4">
    <mergeCell ref="A9:D10"/>
    <mergeCell ref="A12:A13"/>
    <mergeCell ref="B12:B13"/>
    <mergeCell ref="B7:D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96"/>
  <sheetViews>
    <sheetView view="pageBreakPreview" zoomScale="85" zoomScaleSheetLayoutView="85" workbookViewId="0">
      <selection activeCell="I281" sqref="A1:I281"/>
    </sheetView>
  </sheetViews>
  <sheetFormatPr defaultRowHeight="12.75"/>
  <cols>
    <col min="1" max="1" width="44.28515625" style="94" customWidth="1"/>
    <col min="2" max="2" width="13.85546875" style="168" customWidth="1"/>
    <col min="3" max="3" width="9.140625" style="168"/>
    <col min="4" max="4" width="9" style="168" customWidth="1"/>
    <col min="5" max="5" width="9.140625" style="168" customWidth="1"/>
    <col min="6" max="6" width="9.5703125" style="168" customWidth="1"/>
    <col min="7" max="7" width="17.42578125" style="396" customWidth="1"/>
    <col min="8" max="8" width="0" style="396" hidden="1" customWidth="1"/>
    <col min="9" max="9" width="15.5703125" style="396" customWidth="1"/>
    <col min="10" max="10" width="21.140625" style="151" customWidth="1"/>
    <col min="11" max="11" width="15.42578125" customWidth="1"/>
    <col min="12" max="12" width="21.5703125" customWidth="1"/>
    <col min="13" max="13" width="13.42578125" customWidth="1"/>
  </cols>
  <sheetData>
    <row r="1" spans="1:10">
      <c r="D1" s="416"/>
      <c r="E1" s="4"/>
      <c r="F1" s="4"/>
      <c r="G1" s="696" t="s">
        <v>470</v>
      </c>
      <c r="H1" s="4"/>
      <c r="I1" s="696"/>
    </row>
    <row r="2" spans="1:10">
      <c r="D2" s="416"/>
      <c r="E2" s="4"/>
      <c r="F2" s="4"/>
      <c r="G2" s="696" t="s">
        <v>204</v>
      </c>
      <c r="H2" s="4"/>
      <c r="I2" s="696"/>
    </row>
    <row r="3" spans="1:10">
      <c r="D3" s="416"/>
      <c r="E3" s="4"/>
      <c r="F3" s="4"/>
      <c r="G3" s="696" t="s">
        <v>306</v>
      </c>
      <c r="H3" s="4"/>
      <c r="I3" s="696"/>
    </row>
    <row r="4" spans="1:10">
      <c r="D4" s="696"/>
      <c r="E4" s="4"/>
      <c r="F4" s="4"/>
      <c r="G4" s="696" t="s">
        <v>153</v>
      </c>
      <c r="H4" s="4"/>
      <c r="I4" s="696"/>
    </row>
    <row r="5" spans="1:10">
      <c r="D5" s="696"/>
      <c r="E5" s="4"/>
      <c r="F5" s="4"/>
      <c r="G5" s="696" t="s">
        <v>307</v>
      </c>
      <c r="H5" s="4"/>
      <c r="I5" s="696"/>
    </row>
    <row r="6" spans="1:10">
      <c r="D6" s="696"/>
      <c r="E6" s="4"/>
      <c r="F6" s="696"/>
      <c r="G6" s="696" t="s">
        <v>1084</v>
      </c>
      <c r="H6" s="4"/>
      <c r="I6" s="696"/>
    </row>
    <row r="7" spans="1:10" ht="12.75" customHeight="1">
      <c r="D7" s="699"/>
      <c r="E7" s="156" t="s">
        <v>1085</v>
      </c>
      <c r="F7" s="156"/>
      <c r="G7" s="156"/>
      <c r="H7" s="156"/>
      <c r="I7" s="156"/>
    </row>
    <row r="8" spans="1:10" ht="37.5" customHeight="1">
      <c r="A8" s="894" t="s">
        <v>1104</v>
      </c>
      <c r="B8" s="895"/>
      <c r="C8" s="895"/>
      <c r="D8" s="895"/>
      <c r="E8" s="895"/>
      <c r="F8" s="895"/>
      <c r="G8" s="895"/>
    </row>
    <row r="9" spans="1:10">
      <c r="G9" s="397" t="s">
        <v>107</v>
      </c>
    </row>
    <row r="10" spans="1:10" s="141" customFormat="1" ht="25.5">
      <c r="A10" s="614" t="s">
        <v>209</v>
      </c>
      <c r="B10" s="614" t="s">
        <v>212</v>
      </c>
      <c r="C10" s="614" t="s">
        <v>213</v>
      </c>
      <c r="D10" s="614" t="s">
        <v>305</v>
      </c>
      <c r="E10" s="614" t="s">
        <v>210</v>
      </c>
      <c r="F10" s="614" t="s">
        <v>211</v>
      </c>
      <c r="G10" s="398" t="s">
        <v>214</v>
      </c>
      <c r="H10" s="146"/>
      <c r="I10" s="226" t="s">
        <v>357</v>
      </c>
      <c r="J10" s="361"/>
    </row>
    <row r="11" spans="1:10" ht="58.5" customHeight="1">
      <c r="A11" s="142" t="s">
        <v>890</v>
      </c>
      <c r="B11" s="132" t="s">
        <v>551</v>
      </c>
      <c r="C11" s="132"/>
      <c r="D11" s="132"/>
      <c r="E11" s="375"/>
      <c r="F11" s="375"/>
      <c r="G11" s="144">
        <f>G13+G14</f>
        <v>360</v>
      </c>
      <c r="H11" s="144">
        <f t="shared" ref="H11:I11" si="0">H13+H14</f>
        <v>0</v>
      </c>
      <c r="I11" s="144">
        <f t="shared" si="0"/>
        <v>0</v>
      </c>
      <c r="J11" s="218">
        <f>G11-I11</f>
        <v>360</v>
      </c>
    </row>
    <row r="12" spans="1:10" ht="38.25" customHeight="1">
      <c r="A12" s="211" t="s">
        <v>1017</v>
      </c>
      <c r="B12" s="558" t="s">
        <v>551</v>
      </c>
      <c r="C12" s="558"/>
      <c r="D12" s="558" t="s">
        <v>924</v>
      </c>
      <c r="E12" s="688" t="s">
        <v>226</v>
      </c>
      <c r="F12" s="688" t="s">
        <v>215</v>
      </c>
      <c r="G12" s="559">
        <f>G13+G14</f>
        <v>360</v>
      </c>
      <c r="H12" s="559">
        <f t="shared" ref="H12:I12" si="1">H13+H14</f>
        <v>0</v>
      </c>
      <c r="I12" s="559">
        <f t="shared" si="1"/>
        <v>0</v>
      </c>
      <c r="J12" s="218"/>
    </row>
    <row r="13" spans="1:10" ht="58.5" customHeight="1">
      <c r="A13" s="135" t="s">
        <v>271</v>
      </c>
      <c r="B13" s="134" t="s">
        <v>551</v>
      </c>
      <c r="C13" s="134" t="s">
        <v>268</v>
      </c>
      <c r="D13" s="134" t="s">
        <v>117</v>
      </c>
      <c r="E13" s="134" t="s">
        <v>217</v>
      </c>
      <c r="F13" s="134" t="s">
        <v>215</v>
      </c>
      <c r="G13" s="399">
        <f>'пр. 10 2020г'!G293</f>
        <v>200</v>
      </c>
      <c r="H13" s="399"/>
      <c r="I13" s="399">
        <v>0</v>
      </c>
      <c r="J13" s="218"/>
    </row>
    <row r="14" spans="1:10">
      <c r="A14" s="135" t="s">
        <v>271</v>
      </c>
      <c r="B14" s="134" t="s">
        <v>551</v>
      </c>
      <c r="C14" s="134" t="s">
        <v>268</v>
      </c>
      <c r="D14" s="134" t="s">
        <v>203</v>
      </c>
      <c r="E14" s="134" t="s">
        <v>226</v>
      </c>
      <c r="F14" s="134" t="s">
        <v>215</v>
      </c>
      <c r="G14" s="146">
        <f>'пр. 10 2020г'!G193</f>
        <v>160</v>
      </c>
      <c r="H14" s="146"/>
      <c r="I14" s="146">
        <v>0</v>
      </c>
      <c r="J14" s="218">
        <f>G14-I14</f>
        <v>160</v>
      </c>
    </row>
    <row r="15" spans="1:10" ht="25.5">
      <c r="A15" s="142" t="s">
        <v>891</v>
      </c>
      <c r="B15" s="132" t="s">
        <v>621</v>
      </c>
      <c r="C15" s="132"/>
      <c r="D15" s="132"/>
      <c r="E15" s="132"/>
      <c r="F15" s="132"/>
      <c r="G15" s="144">
        <f>G16+G22</f>
        <v>2489.3000000000002</v>
      </c>
      <c r="H15" s="144">
        <f>H16+H22</f>
        <v>0</v>
      </c>
      <c r="I15" s="144">
        <f>I16+I22</f>
        <v>2016</v>
      </c>
      <c r="J15" s="218">
        <f>G15-I15</f>
        <v>473.30000000000018</v>
      </c>
    </row>
    <row r="16" spans="1:10" ht="51">
      <c r="A16" s="256" t="s">
        <v>892</v>
      </c>
      <c r="B16" s="336" t="s">
        <v>991</v>
      </c>
      <c r="C16" s="257"/>
      <c r="D16" s="336">
        <v>934</v>
      </c>
      <c r="E16" s="336" t="s">
        <v>220</v>
      </c>
      <c r="F16" s="336" t="s">
        <v>218</v>
      </c>
      <c r="G16" s="400">
        <f>G18+G20</f>
        <v>2419.3000000000002</v>
      </c>
      <c r="H16" s="400">
        <f t="shared" ref="H16:I16" si="2">H18+H20</f>
        <v>0</v>
      </c>
      <c r="I16" s="400">
        <f t="shared" si="2"/>
        <v>2016</v>
      </c>
      <c r="J16" s="218">
        <f>G16-I16</f>
        <v>403.30000000000018</v>
      </c>
    </row>
    <row r="17" spans="1:13" ht="25.5">
      <c r="A17" s="717" t="s">
        <v>990</v>
      </c>
      <c r="B17" s="129" t="s">
        <v>991</v>
      </c>
      <c r="C17" s="558"/>
      <c r="D17" s="688">
        <v>934</v>
      </c>
      <c r="E17" s="688" t="s">
        <v>220</v>
      </c>
      <c r="F17" s="688" t="s">
        <v>218</v>
      </c>
      <c r="G17" s="559">
        <f>G18+G20</f>
        <v>2419.3000000000002</v>
      </c>
      <c r="H17" s="559">
        <f t="shared" ref="H17:I17" si="3">H18+H20</f>
        <v>0</v>
      </c>
      <c r="I17" s="559">
        <f t="shared" si="3"/>
        <v>2016</v>
      </c>
      <c r="J17" s="218"/>
    </row>
    <row r="18" spans="1:13" s="216" customFormat="1" ht="44.25" customHeight="1">
      <c r="A18" s="556" t="s">
        <v>793</v>
      </c>
      <c r="B18" s="129" t="s">
        <v>617</v>
      </c>
      <c r="C18" s="558"/>
      <c r="D18" s="134">
        <v>934</v>
      </c>
      <c r="E18" s="134" t="s">
        <v>220</v>
      </c>
      <c r="F18" s="134" t="s">
        <v>218</v>
      </c>
      <c r="G18" s="559">
        <f>G19</f>
        <v>2016</v>
      </c>
      <c r="H18" s="400"/>
      <c r="I18" s="559">
        <f>G18</f>
        <v>2016</v>
      </c>
      <c r="J18" s="218">
        <f>G18-I18</f>
        <v>0</v>
      </c>
    </row>
    <row r="19" spans="1:13" ht="44.25" customHeight="1">
      <c r="A19" s="135" t="s">
        <v>344</v>
      </c>
      <c r="B19" s="129" t="s">
        <v>617</v>
      </c>
      <c r="C19" s="134" t="s">
        <v>342</v>
      </c>
      <c r="D19" s="134">
        <v>934</v>
      </c>
      <c r="E19" s="134" t="s">
        <v>220</v>
      </c>
      <c r="F19" s="134" t="s">
        <v>218</v>
      </c>
      <c r="G19" s="146">
        <f>'пр. 10 2020г'!G216</f>
        <v>2016</v>
      </c>
      <c r="H19" s="146"/>
      <c r="I19" s="146">
        <f>G19</f>
        <v>2016</v>
      </c>
      <c r="J19" s="218">
        <f>G19-I19</f>
        <v>0</v>
      </c>
    </row>
    <row r="20" spans="1:13" s="216" customFormat="1" ht="51">
      <c r="A20" s="556" t="s">
        <v>794</v>
      </c>
      <c r="B20" s="129" t="s">
        <v>617</v>
      </c>
      <c r="C20" s="134"/>
      <c r="D20" s="134">
        <v>934</v>
      </c>
      <c r="E20" s="134" t="s">
        <v>220</v>
      </c>
      <c r="F20" s="134" t="s">
        <v>218</v>
      </c>
      <c r="G20" s="146">
        <f>G21</f>
        <v>403.3</v>
      </c>
      <c r="H20" s="146"/>
      <c r="I20" s="146">
        <v>0</v>
      </c>
      <c r="J20" s="218">
        <f>G20-I20</f>
        <v>403.3</v>
      </c>
    </row>
    <row r="21" spans="1:13" s="216" customFormat="1">
      <c r="A21" s="135" t="s">
        <v>344</v>
      </c>
      <c r="B21" s="129" t="s">
        <v>617</v>
      </c>
      <c r="C21" s="134" t="s">
        <v>342</v>
      </c>
      <c r="D21" s="557">
        <v>934</v>
      </c>
      <c r="E21" s="130" t="s">
        <v>220</v>
      </c>
      <c r="F21" s="130" t="s">
        <v>218</v>
      </c>
      <c r="G21" s="146">
        <f>'пр. 10 2020г'!G218</f>
        <v>403.3</v>
      </c>
      <c r="H21" s="146"/>
      <c r="I21" s="146">
        <v>0</v>
      </c>
      <c r="J21" s="218">
        <f>G21-I21</f>
        <v>403.3</v>
      </c>
    </row>
    <row r="22" spans="1:13" ht="25.5">
      <c r="A22" s="256" t="s">
        <v>893</v>
      </c>
      <c r="B22" s="257" t="s">
        <v>554</v>
      </c>
      <c r="C22" s="257"/>
      <c r="D22" s="121" t="s">
        <v>203</v>
      </c>
      <c r="E22" s="121" t="s">
        <v>217</v>
      </c>
      <c r="F22" s="121" t="s">
        <v>217</v>
      </c>
      <c r="G22" s="400">
        <f>G24</f>
        <v>70</v>
      </c>
      <c r="H22" s="400"/>
      <c r="I22" s="400">
        <f>I24</f>
        <v>0</v>
      </c>
      <c r="J22" s="218">
        <f>G22-I22</f>
        <v>70</v>
      </c>
    </row>
    <row r="23" spans="1:13" ht="27" customHeight="1">
      <c r="A23" s="256" t="s">
        <v>1016</v>
      </c>
      <c r="B23" s="257" t="s">
        <v>554</v>
      </c>
      <c r="C23" s="257"/>
      <c r="D23" s="121" t="s">
        <v>203</v>
      </c>
      <c r="E23" s="121" t="s">
        <v>217</v>
      </c>
      <c r="F23" s="121" t="s">
        <v>217</v>
      </c>
      <c r="G23" s="400">
        <f>G24</f>
        <v>70</v>
      </c>
      <c r="H23" s="400"/>
      <c r="I23" s="400">
        <f>I24</f>
        <v>0</v>
      </c>
      <c r="J23" s="218"/>
    </row>
    <row r="24" spans="1:13" ht="38.25">
      <c r="A24" s="139" t="s">
        <v>275</v>
      </c>
      <c r="B24" s="121" t="s">
        <v>554</v>
      </c>
      <c r="C24" s="121" t="s">
        <v>413</v>
      </c>
      <c r="D24" s="121" t="s">
        <v>203</v>
      </c>
      <c r="E24" s="121" t="s">
        <v>217</v>
      </c>
      <c r="F24" s="121" t="s">
        <v>217</v>
      </c>
      <c r="G24" s="352">
        <f>'пр. 10 2020г'!G188</f>
        <v>70</v>
      </c>
      <c r="H24" s="146"/>
      <c r="I24" s="146">
        <v>0</v>
      </c>
      <c r="J24" s="218">
        <f>G24-I24</f>
        <v>70</v>
      </c>
    </row>
    <row r="25" spans="1:13" s="151" customFormat="1" ht="41.25" customHeight="1">
      <c r="A25" s="142" t="s">
        <v>894</v>
      </c>
      <c r="B25" s="132" t="s">
        <v>579</v>
      </c>
      <c r="C25" s="132"/>
      <c r="D25" s="132">
        <v>934</v>
      </c>
      <c r="E25" s="132"/>
      <c r="F25" s="132"/>
      <c r="G25" s="144">
        <f>G26</f>
        <v>58286.914999999994</v>
      </c>
      <c r="H25" s="144" t="e">
        <f t="shared" ref="H25" si="4">H27+H29+H31+H32+H34+H36+H38+H42</f>
        <v>#REF!</v>
      </c>
      <c r="I25" s="144">
        <f>I26</f>
        <v>26717.600000000002</v>
      </c>
      <c r="J25" s="218">
        <f>'пр. 10 2020г'!G194+'пр. 10 2020г'!G177</f>
        <v>57699.915000000001</v>
      </c>
      <c r="K25" s="217">
        <f>G25-J25</f>
        <v>586.99999999999272</v>
      </c>
      <c r="L25" s="151">
        <f>'пр. 10 2020г'!H176+'пр. 10 2020г'!H189</f>
        <v>26130.600000000002</v>
      </c>
    </row>
    <row r="26" spans="1:13" s="151" customFormat="1" ht="41.25" customHeight="1">
      <c r="A26" s="142" t="s">
        <v>1053</v>
      </c>
      <c r="B26" s="132" t="s">
        <v>579</v>
      </c>
      <c r="C26" s="132"/>
      <c r="D26" s="132">
        <v>934</v>
      </c>
      <c r="E26" s="132" t="s">
        <v>1052</v>
      </c>
      <c r="F26" s="132" t="s">
        <v>1049</v>
      </c>
      <c r="G26" s="144">
        <f>G27+G29+G31+G32+G34+G36+G38+G42+G40</f>
        <v>58286.914999999994</v>
      </c>
      <c r="H26" s="144" t="e">
        <f t="shared" ref="H26" si="5">H27+H29+H31+H32+H34+H36+H38+H42</f>
        <v>#REF!</v>
      </c>
      <c r="I26" s="144">
        <f>I27+I29+I31+I32+I34+I36+I38+I42+I40</f>
        <v>26717.600000000002</v>
      </c>
      <c r="J26" s="218"/>
      <c r="K26" s="217">
        <f>K25-G42</f>
        <v>-7.2759576141834259E-12</v>
      </c>
      <c r="L26" s="217">
        <f>L25-I25</f>
        <v>-587</v>
      </c>
    </row>
    <row r="27" spans="1:13" s="94" customFormat="1" ht="102">
      <c r="A27" s="137" t="s">
        <v>184</v>
      </c>
      <c r="B27" s="130" t="s">
        <v>730</v>
      </c>
      <c r="C27" s="130"/>
      <c r="D27" s="133" t="s">
        <v>203</v>
      </c>
      <c r="E27" s="133" t="s">
        <v>217</v>
      </c>
      <c r="F27" s="133" t="s">
        <v>218</v>
      </c>
      <c r="G27" s="145">
        <f>G28</f>
        <v>5927.7000000000007</v>
      </c>
      <c r="H27" s="145">
        <f t="shared" ref="H27:I27" si="6">H28</f>
        <v>0</v>
      </c>
      <c r="I27" s="145">
        <f t="shared" si="6"/>
        <v>5927.7000000000007</v>
      </c>
      <c r="J27" s="218">
        <f t="shared" ref="J27:J49" si="7">G27-I27</f>
        <v>0</v>
      </c>
      <c r="K27" s="334"/>
      <c r="M27" s="334"/>
    </row>
    <row r="28" spans="1:13" s="94" customFormat="1">
      <c r="A28" s="135" t="s">
        <v>350</v>
      </c>
      <c r="B28" s="129" t="s">
        <v>730</v>
      </c>
      <c r="C28" s="129" t="s">
        <v>351</v>
      </c>
      <c r="D28" s="134" t="s">
        <v>203</v>
      </c>
      <c r="E28" s="134" t="s">
        <v>217</v>
      </c>
      <c r="F28" s="134" t="s">
        <v>218</v>
      </c>
      <c r="G28" s="145">
        <f>'пр. 10 2020г'!G180</f>
        <v>5927.7000000000007</v>
      </c>
      <c r="H28" s="146"/>
      <c r="I28" s="146">
        <f>G28</f>
        <v>5927.7000000000007</v>
      </c>
      <c r="J28" s="218">
        <f t="shared" si="7"/>
        <v>0</v>
      </c>
      <c r="K28" s="334"/>
      <c r="M28" s="334"/>
    </row>
    <row r="29" spans="1:13" s="94" customFormat="1" ht="102">
      <c r="A29" s="135" t="s">
        <v>729</v>
      </c>
      <c r="B29" s="129" t="s">
        <v>730</v>
      </c>
      <c r="C29" s="130"/>
      <c r="D29" s="133" t="s">
        <v>203</v>
      </c>
      <c r="E29" s="133" t="s">
        <v>217</v>
      </c>
      <c r="F29" s="133" t="s">
        <v>218</v>
      </c>
      <c r="G29" s="145">
        <f>G30</f>
        <v>2017.34</v>
      </c>
      <c r="H29" s="146"/>
      <c r="I29" s="146">
        <f>I30</f>
        <v>0</v>
      </c>
      <c r="J29" s="218">
        <f t="shared" si="7"/>
        <v>2017.34</v>
      </c>
      <c r="K29" s="334"/>
      <c r="M29" s="334"/>
    </row>
    <row r="30" spans="1:13" s="94" customFormat="1">
      <c r="A30" s="135" t="s">
        <v>350</v>
      </c>
      <c r="B30" s="129" t="s">
        <v>730</v>
      </c>
      <c r="C30" s="129" t="s">
        <v>351</v>
      </c>
      <c r="D30" s="134" t="s">
        <v>203</v>
      </c>
      <c r="E30" s="134" t="s">
        <v>217</v>
      </c>
      <c r="F30" s="134" t="s">
        <v>218</v>
      </c>
      <c r="G30" s="145">
        <f>'пр. 10 2020г'!G182</f>
        <v>2017.34</v>
      </c>
      <c r="H30" s="146"/>
      <c r="I30" s="146">
        <v>0</v>
      </c>
      <c r="J30" s="218">
        <f t="shared" si="7"/>
        <v>2017.34</v>
      </c>
      <c r="K30" s="334"/>
      <c r="M30" s="334"/>
    </row>
    <row r="31" spans="1:13" s="94" customFormat="1">
      <c r="A31" s="135" t="s">
        <v>348</v>
      </c>
      <c r="B31" s="121" t="s">
        <v>553</v>
      </c>
      <c r="C31" s="129" t="s">
        <v>421</v>
      </c>
      <c r="D31" s="134" t="s">
        <v>203</v>
      </c>
      <c r="E31" s="121" t="s">
        <v>217</v>
      </c>
      <c r="F31" s="121" t="s">
        <v>218</v>
      </c>
      <c r="G31" s="145">
        <f>'пр. 10 2020г'!G183</f>
        <v>4349.8900000000003</v>
      </c>
      <c r="H31" s="145" t="e">
        <f>#REF!</f>
        <v>#REF!</v>
      </c>
      <c r="I31" s="145">
        <v>0</v>
      </c>
      <c r="J31" s="218">
        <f t="shared" si="7"/>
        <v>4349.8900000000003</v>
      </c>
      <c r="K31" s="334"/>
      <c r="M31" s="334"/>
    </row>
    <row r="32" spans="1:13" ht="51">
      <c r="A32" s="68" t="s">
        <v>143</v>
      </c>
      <c r="B32" s="129" t="s">
        <v>558</v>
      </c>
      <c r="C32" s="130"/>
      <c r="D32" s="133" t="s">
        <v>203</v>
      </c>
      <c r="E32" s="133" t="s">
        <v>226</v>
      </c>
      <c r="F32" s="133" t="s">
        <v>215</v>
      </c>
      <c r="G32" s="401">
        <f>G33</f>
        <v>9672.3629999999994</v>
      </c>
      <c r="H32" s="401">
        <f t="shared" ref="H32:I32" si="8">H33</f>
        <v>0</v>
      </c>
      <c r="I32" s="401">
        <f t="shared" si="8"/>
        <v>0</v>
      </c>
      <c r="J32" s="218">
        <f t="shared" si="7"/>
        <v>9672.3629999999994</v>
      </c>
    </row>
    <row r="33" spans="1:10" ht="51">
      <c r="A33" s="135" t="s">
        <v>270</v>
      </c>
      <c r="B33" s="129" t="s">
        <v>558</v>
      </c>
      <c r="C33" s="129" t="s">
        <v>420</v>
      </c>
      <c r="D33" s="134" t="s">
        <v>203</v>
      </c>
      <c r="E33" s="134" t="s">
        <v>226</v>
      </c>
      <c r="F33" s="134" t="s">
        <v>215</v>
      </c>
      <c r="G33" s="145">
        <f>'пр. 10 2020г'!G197</f>
        <v>9672.3629999999994</v>
      </c>
      <c r="H33" s="146"/>
      <c r="I33" s="146">
        <v>0</v>
      </c>
      <c r="J33" s="218">
        <f t="shared" si="7"/>
        <v>9672.3629999999994</v>
      </c>
    </row>
    <row r="34" spans="1:10" ht="51">
      <c r="A34" s="68" t="s">
        <v>143</v>
      </c>
      <c r="B34" s="129" t="s">
        <v>559</v>
      </c>
      <c r="C34" s="129"/>
      <c r="D34" s="133" t="s">
        <v>203</v>
      </c>
      <c r="E34" s="133" t="s">
        <v>226</v>
      </c>
      <c r="F34" s="133" t="s">
        <v>215</v>
      </c>
      <c r="G34" s="145">
        <f>G35</f>
        <v>2239.692</v>
      </c>
      <c r="H34" s="145">
        <f t="shared" ref="H34:I34" si="9">H35</f>
        <v>0</v>
      </c>
      <c r="I34" s="145">
        <f t="shared" si="9"/>
        <v>0</v>
      </c>
      <c r="J34" s="218">
        <f t="shared" si="7"/>
        <v>2239.692</v>
      </c>
    </row>
    <row r="35" spans="1:10" ht="51">
      <c r="A35" s="135" t="s">
        <v>270</v>
      </c>
      <c r="B35" s="129" t="s">
        <v>559</v>
      </c>
      <c r="C35" s="129" t="s">
        <v>420</v>
      </c>
      <c r="D35" s="134" t="s">
        <v>203</v>
      </c>
      <c r="E35" s="134" t="s">
        <v>226</v>
      </c>
      <c r="F35" s="134" t="s">
        <v>215</v>
      </c>
      <c r="G35" s="145">
        <f>'пр. 10 2020г'!G199</f>
        <v>2239.692</v>
      </c>
      <c r="H35" s="146"/>
      <c r="I35" s="146">
        <v>0</v>
      </c>
      <c r="J35" s="218">
        <f t="shared" si="7"/>
        <v>2239.692</v>
      </c>
    </row>
    <row r="36" spans="1:10" ht="18" customHeight="1">
      <c r="A36" s="135" t="s">
        <v>144</v>
      </c>
      <c r="B36" s="121" t="s">
        <v>815</v>
      </c>
      <c r="C36" s="129"/>
      <c r="D36" s="134" t="s">
        <v>203</v>
      </c>
      <c r="E36" s="134" t="s">
        <v>226</v>
      </c>
      <c r="F36" s="134" t="s">
        <v>215</v>
      </c>
      <c r="G36" s="145">
        <f>G37</f>
        <v>20080.900000000001</v>
      </c>
      <c r="H36" s="145">
        <f t="shared" ref="H36:I36" si="10">H37</f>
        <v>0</v>
      </c>
      <c r="I36" s="145">
        <f t="shared" si="10"/>
        <v>20080.900000000001</v>
      </c>
      <c r="J36" s="218">
        <f t="shared" si="7"/>
        <v>0</v>
      </c>
    </row>
    <row r="37" spans="1:10" ht="18" customHeight="1">
      <c r="A37" s="135" t="s">
        <v>271</v>
      </c>
      <c r="B37" s="121" t="s">
        <v>815</v>
      </c>
      <c r="C37" s="129" t="s">
        <v>268</v>
      </c>
      <c r="D37" s="134" t="s">
        <v>203</v>
      </c>
      <c r="E37" s="134" t="s">
        <v>226</v>
      </c>
      <c r="F37" s="134" t="s">
        <v>215</v>
      </c>
      <c r="G37" s="145">
        <f>'пр. 10 2020г'!G201</f>
        <v>20080.900000000001</v>
      </c>
      <c r="H37" s="146"/>
      <c r="I37" s="146">
        <f>G37</f>
        <v>20080.900000000001</v>
      </c>
      <c r="J37" s="218">
        <f t="shared" si="7"/>
        <v>0</v>
      </c>
    </row>
    <row r="38" spans="1:10" ht="48.75" customHeight="1">
      <c r="A38" s="135" t="s">
        <v>728</v>
      </c>
      <c r="B38" s="121" t="s">
        <v>815</v>
      </c>
      <c r="C38" s="129"/>
      <c r="D38" s="134" t="s">
        <v>203</v>
      </c>
      <c r="E38" s="134" t="s">
        <v>226</v>
      </c>
      <c r="F38" s="134" t="s">
        <v>215</v>
      </c>
      <c r="G38" s="145">
        <f>G39</f>
        <v>13290.03</v>
      </c>
      <c r="H38" s="146"/>
      <c r="I38" s="146">
        <f>I39</f>
        <v>0</v>
      </c>
      <c r="J38" s="218">
        <f t="shared" si="7"/>
        <v>13290.03</v>
      </c>
    </row>
    <row r="39" spans="1:10" ht="18" customHeight="1">
      <c r="A39" s="135" t="s">
        <v>271</v>
      </c>
      <c r="B39" s="121" t="s">
        <v>815</v>
      </c>
      <c r="C39" s="129" t="s">
        <v>268</v>
      </c>
      <c r="D39" s="134" t="s">
        <v>203</v>
      </c>
      <c r="E39" s="134" t="s">
        <v>226</v>
      </c>
      <c r="F39" s="134" t="s">
        <v>215</v>
      </c>
      <c r="G39" s="145">
        <f>'пр. 10 2020г'!G203</f>
        <v>13290.03</v>
      </c>
      <c r="H39" s="146"/>
      <c r="I39" s="146">
        <v>0</v>
      </c>
      <c r="J39" s="218">
        <f t="shared" si="7"/>
        <v>13290.03</v>
      </c>
    </row>
    <row r="40" spans="1:10" ht="31.5" customHeight="1">
      <c r="A40" s="135" t="s">
        <v>1229</v>
      </c>
      <c r="B40" s="121" t="s">
        <v>1230</v>
      </c>
      <c r="C40" s="129"/>
      <c r="D40" s="134" t="s">
        <v>203</v>
      </c>
      <c r="E40" s="134" t="s">
        <v>226</v>
      </c>
      <c r="F40" s="134" t="s">
        <v>215</v>
      </c>
      <c r="G40" s="145">
        <f>G41</f>
        <v>122</v>
      </c>
      <c r="H40" s="146"/>
      <c r="I40" s="146">
        <f>I41</f>
        <v>122</v>
      </c>
      <c r="J40" s="218"/>
    </row>
    <row r="41" spans="1:10" ht="18" customHeight="1">
      <c r="A41" s="135" t="s">
        <v>271</v>
      </c>
      <c r="B41" s="121" t="s">
        <v>1230</v>
      </c>
      <c r="C41" s="129" t="s">
        <v>268</v>
      </c>
      <c r="D41" s="134" t="s">
        <v>203</v>
      </c>
      <c r="E41" s="134" t="s">
        <v>226</v>
      </c>
      <c r="F41" s="134" t="s">
        <v>215</v>
      </c>
      <c r="G41" s="145">
        <f>'пр. 10 2020г'!G205</f>
        <v>122</v>
      </c>
      <c r="H41" s="146"/>
      <c r="I41" s="146">
        <f>G41</f>
        <v>122</v>
      </c>
      <c r="J41" s="218"/>
    </row>
    <row r="42" spans="1:10" ht="229.5">
      <c r="A42" s="45" t="s">
        <v>809</v>
      </c>
      <c r="B42" s="121" t="s">
        <v>433</v>
      </c>
      <c r="C42" s="129"/>
      <c r="D42" s="134" t="s">
        <v>203</v>
      </c>
      <c r="E42" s="134"/>
      <c r="F42" s="134"/>
      <c r="G42" s="145">
        <f>G43+G44</f>
        <v>587</v>
      </c>
      <c r="H42" s="145">
        <f t="shared" ref="H42:I42" si="11">H43+H44</f>
        <v>0</v>
      </c>
      <c r="I42" s="145">
        <f t="shared" si="11"/>
        <v>587</v>
      </c>
      <c r="J42" s="218">
        <f t="shared" si="7"/>
        <v>0</v>
      </c>
    </row>
    <row r="43" spans="1:10">
      <c r="A43" s="135" t="s">
        <v>271</v>
      </c>
      <c r="B43" s="121" t="s">
        <v>433</v>
      </c>
      <c r="C43" s="129" t="s">
        <v>268</v>
      </c>
      <c r="D43" s="134" t="s">
        <v>203</v>
      </c>
      <c r="E43" s="134" t="s">
        <v>220</v>
      </c>
      <c r="F43" s="134" t="s">
        <v>218</v>
      </c>
      <c r="G43" s="145">
        <f>'пр. 10 2020г'!G222</f>
        <v>384</v>
      </c>
      <c r="H43" s="146"/>
      <c r="I43" s="146">
        <f>G43</f>
        <v>384</v>
      </c>
      <c r="J43" s="218">
        <f t="shared" si="7"/>
        <v>0</v>
      </c>
    </row>
    <row r="44" spans="1:10">
      <c r="A44" s="135" t="s">
        <v>350</v>
      </c>
      <c r="B44" s="121" t="s">
        <v>433</v>
      </c>
      <c r="C44" s="129" t="s">
        <v>351</v>
      </c>
      <c r="D44" s="134" t="s">
        <v>203</v>
      </c>
      <c r="E44" s="134" t="s">
        <v>220</v>
      </c>
      <c r="F44" s="134" t="s">
        <v>218</v>
      </c>
      <c r="G44" s="145">
        <f>'пр. 10 2020г'!G223</f>
        <v>203</v>
      </c>
      <c r="H44" s="146"/>
      <c r="I44" s="146">
        <f>G44</f>
        <v>203</v>
      </c>
      <c r="J44" s="218">
        <f t="shared" si="7"/>
        <v>0</v>
      </c>
    </row>
    <row r="45" spans="1:10" ht="49.5" customHeight="1">
      <c r="A45" s="142" t="s">
        <v>766</v>
      </c>
      <c r="B45" s="132" t="s">
        <v>988</v>
      </c>
      <c r="C45" s="132"/>
      <c r="D45" s="132" t="s">
        <v>203</v>
      </c>
      <c r="E45" s="131"/>
      <c r="F45" s="131"/>
      <c r="G45" s="144">
        <f>G46</f>
        <v>655.54089999999997</v>
      </c>
      <c r="H45" s="167"/>
      <c r="I45" s="144">
        <f>I46</f>
        <v>0</v>
      </c>
      <c r="J45" s="218">
        <f t="shared" si="7"/>
        <v>655.54089999999997</v>
      </c>
    </row>
    <row r="46" spans="1:10" ht="27.75" customHeight="1">
      <c r="A46" s="254" t="s">
        <v>1231</v>
      </c>
      <c r="B46" s="129" t="s">
        <v>988</v>
      </c>
      <c r="C46" s="129"/>
      <c r="D46" s="134" t="s">
        <v>203</v>
      </c>
      <c r="E46" s="133" t="s">
        <v>224</v>
      </c>
      <c r="F46" s="133" t="s">
        <v>222</v>
      </c>
      <c r="G46" s="360">
        <f>G47</f>
        <v>655.54089999999997</v>
      </c>
      <c r="H46" s="145"/>
      <c r="I46" s="145">
        <f>I47</f>
        <v>0</v>
      </c>
      <c r="J46" s="218">
        <f t="shared" si="7"/>
        <v>655.54089999999997</v>
      </c>
    </row>
    <row r="47" spans="1:10" ht="38.25">
      <c r="A47" s="139" t="s">
        <v>275</v>
      </c>
      <c r="B47" s="129" t="s">
        <v>548</v>
      </c>
      <c r="C47" s="129" t="s">
        <v>413</v>
      </c>
      <c r="D47" s="134" t="s">
        <v>203</v>
      </c>
      <c r="E47" s="133" t="s">
        <v>224</v>
      </c>
      <c r="F47" s="133" t="s">
        <v>222</v>
      </c>
      <c r="G47" s="146">
        <f>'пр. 10 2020г'!G154</f>
        <v>655.54089999999997</v>
      </c>
      <c r="H47" s="146"/>
      <c r="I47" s="146">
        <v>0</v>
      </c>
      <c r="J47" s="218">
        <f t="shared" si="7"/>
        <v>655.54089999999997</v>
      </c>
    </row>
    <row r="48" spans="1:10" ht="56.25" customHeight="1">
      <c r="A48" s="142" t="s">
        <v>895</v>
      </c>
      <c r="B48" s="131" t="s">
        <v>566</v>
      </c>
      <c r="C48" s="132"/>
      <c r="D48" s="132" t="s">
        <v>203</v>
      </c>
      <c r="E48" s="131"/>
      <c r="F48" s="131"/>
      <c r="G48" s="144">
        <f>G49+G56+G62+G65</f>
        <v>46148.697999999997</v>
      </c>
      <c r="H48" s="144" t="e">
        <f>H56+H62+H49+H65</f>
        <v>#REF!</v>
      </c>
      <c r="I48" s="144">
        <f>I49+I56+I62+I65</f>
        <v>9227</v>
      </c>
      <c r="J48" s="218">
        <f t="shared" si="7"/>
        <v>36921.697999999997</v>
      </c>
    </row>
    <row r="49" spans="1:12" ht="51">
      <c r="A49" s="729" t="s">
        <v>1232</v>
      </c>
      <c r="B49" s="354" t="s">
        <v>531</v>
      </c>
      <c r="C49" s="257"/>
      <c r="D49" s="257" t="s">
        <v>203</v>
      </c>
      <c r="E49" s="337"/>
      <c r="F49" s="337"/>
      <c r="G49" s="400">
        <f>G50</f>
        <v>43774.697999999997</v>
      </c>
      <c r="H49" s="400">
        <f t="shared" ref="H49:I49" si="12">H50</f>
        <v>0</v>
      </c>
      <c r="I49" s="400">
        <f t="shared" si="12"/>
        <v>8500</v>
      </c>
      <c r="J49" s="218">
        <f t="shared" si="7"/>
        <v>35274.697999999997</v>
      </c>
    </row>
    <row r="50" spans="1:12" ht="38.25">
      <c r="A50" s="556" t="s">
        <v>1118</v>
      </c>
      <c r="B50" s="688" t="s">
        <v>531</v>
      </c>
      <c r="C50" s="558"/>
      <c r="D50" s="558" t="s">
        <v>203</v>
      </c>
      <c r="E50" s="613"/>
      <c r="F50" s="613"/>
      <c r="G50" s="559">
        <f>G51+G52+G55+G53</f>
        <v>43774.697999999997</v>
      </c>
      <c r="H50" s="559">
        <f t="shared" ref="H50:I50" si="13">H51+H52+H55+H53</f>
        <v>0</v>
      </c>
      <c r="I50" s="559">
        <f t="shared" si="13"/>
        <v>8500</v>
      </c>
      <c r="J50" s="218"/>
    </row>
    <row r="51" spans="1:12" ht="46.5" customHeight="1">
      <c r="A51" s="139" t="s">
        <v>275</v>
      </c>
      <c r="B51" s="121" t="s">
        <v>531</v>
      </c>
      <c r="C51" s="121" t="s">
        <v>413</v>
      </c>
      <c r="D51" s="121" t="s">
        <v>203</v>
      </c>
      <c r="E51" s="143" t="s">
        <v>215</v>
      </c>
      <c r="F51" s="143" t="s">
        <v>224</v>
      </c>
      <c r="G51" s="352">
        <f>'пр. 10 2020г'!G81</f>
        <v>245</v>
      </c>
      <c r="H51" s="352"/>
      <c r="I51" s="352">
        <v>0</v>
      </c>
      <c r="J51" s="218">
        <f>G51-I51</f>
        <v>245</v>
      </c>
    </row>
    <row r="52" spans="1:12" ht="61.5" customHeight="1">
      <c r="A52" s="135" t="s">
        <v>270</v>
      </c>
      <c r="B52" s="121" t="s">
        <v>531</v>
      </c>
      <c r="C52" s="121" t="s">
        <v>420</v>
      </c>
      <c r="D52" s="121" t="s">
        <v>203</v>
      </c>
      <c r="E52" s="143" t="s">
        <v>215</v>
      </c>
      <c r="F52" s="143" t="s">
        <v>241</v>
      </c>
      <c r="G52" s="352">
        <f>'пр. 10 2020г'!G107</f>
        <v>34350.858</v>
      </c>
      <c r="H52" s="352"/>
      <c r="I52" s="352">
        <v>0</v>
      </c>
      <c r="J52" s="218"/>
    </row>
    <row r="53" spans="1:12" ht="82.5" customHeight="1">
      <c r="A53" s="642" t="s">
        <v>918</v>
      </c>
      <c r="B53" s="688" t="s">
        <v>1171</v>
      </c>
      <c r="C53" s="121"/>
      <c r="D53" s="121" t="s">
        <v>203</v>
      </c>
      <c r="E53" s="143" t="s">
        <v>215</v>
      </c>
      <c r="F53" s="143" t="s">
        <v>241</v>
      </c>
      <c r="G53" s="352">
        <f>G54</f>
        <v>8500</v>
      </c>
      <c r="H53" s="352"/>
      <c r="I53" s="352">
        <f>I54</f>
        <v>8500</v>
      </c>
      <c r="J53" s="218"/>
    </row>
    <row r="54" spans="1:12" ht="28.5" customHeight="1">
      <c r="A54" s="135" t="s">
        <v>350</v>
      </c>
      <c r="B54" s="688" t="s">
        <v>1171</v>
      </c>
      <c r="C54" s="121" t="s">
        <v>351</v>
      </c>
      <c r="D54" s="121" t="s">
        <v>203</v>
      </c>
      <c r="E54" s="143" t="s">
        <v>215</v>
      </c>
      <c r="F54" s="143" t="s">
        <v>241</v>
      </c>
      <c r="G54" s="352">
        <f>'пр. 10 2020г'!G109</f>
        <v>8500</v>
      </c>
      <c r="H54" s="352"/>
      <c r="I54" s="352">
        <f>G54</f>
        <v>8500</v>
      </c>
      <c r="J54" s="218"/>
    </row>
    <row r="55" spans="1:12" ht="31.5" customHeight="1">
      <c r="A55" s="135" t="s">
        <v>348</v>
      </c>
      <c r="B55" s="121" t="s">
        <v>531</v>
      </c>
      <c r="C55" s="121" t="s">
        <v>421</v>
      </c>
      <c r="D55" s="121" t="s">
        <v>203</v>
      </c>
      <c r="E55" s="143" t="s">
        <v>222</v>
      </c>
      <c r="F55" s="143" t="s">
        <v>216</v>
      </c>
      <c r="G55" s="352">
        <f>'пр. 10 2020г'!G266</f>
        <v>678.84</v>
      </c>
      <c r="H55" s="352"/>
      <c r="I55" s="352">
        <v>0</v>
      </c>
      <c r="J55" s="218"/>
    </row>
    <row r="56" spans="1:12" ht="25.5">
      <c r="A56" s="256" t="s">
        <v>896</v>
      </c>
      <c r="B56" s="257" t="s">
        <v>737</v>
      </c>
      <c r="C56" s="257"/>
      <c r="D56" s="257" t="s">
        <v>203</v>
      </c>
      <c r="E56" s="337"/>
      <c r="F56" s="337"/>
      <c r="G56" s="400">
        <f>G58+G60</f>
        <v>314</v>
      </c>
      <c r="H56" s="400">
        <f>H58+H60</f>
        <v>0</v>
      </c>
      <c r="I56" s="400">
        <f>I58+I60</f>
        <v>157</v>
      </c>
      <c r="J56" s="218">
        <f>G56-I56</f>
        <v>157</v>
      </c>
      <c r="L56" s="653"/>
    </row>
    <row r="57" spans="1:12" ht="45" customHeight="1">
      <c r="A57" s="256" t="s">
        <v>1009</v>
      </c>
      <c r="B57" s="257" t="s">
        <v>981</v>
      </c>
      <c r="C57" s="257"/>
      <c r="D57" s="257" t="s">
        <v>203</v>
      </c>
      <c r="E57" s="337"/>
      <c r="F57" s="337"/>
      <c r="G57" s="400">
        <f>G58+G60</f>
        <v>314</v>
      </c>
      <c r="H57" s="400">
        <f t="shared" ref="H57:I57" si="14">H58+H60</f>
        <v>0</v>
      </c>
      <c r="I57" s="400">
        <f t="shared" si="14"/>
        <v>157</v>
      </c>
      <c r="J57" s="218"/>
      <c r="L57" s="653"/>
    </row>
    <row r="58" spans="1:12" ht="51">
      <c r="A58" s="616" t="s">
        <v>738</v>
      </c>
      <c r="B58" s="411" t="s">
        <v>982</v>
      </c>
      <c r="C58" s="129"/>
      <c r="D58" s="134" t="s">
        <v>203</v>
      </c>
      <c r="E58" s="133" t="s">
        <v>215</v>
      </c>
      <c r="F58" s="133" t="s">
        <v>241</v>
      </c>
      <c r="G58" s="145">
        <f>G59</f>
        <v>157</v>
      </c>
      <c r="H58" s="145"/>
      <c r="I58" s="145">
        <f>I59</f>
        <v>0</v>
      </c>
      <c r="J58" s="218">
        <f>G58-I58</f>
        <v>157</v>
      </c>
    </row>
    <row r="59" spans="1:12" ht="38.25">
      <c r="A59" s="139" t="s">
        <v>275</v>
      </c>
      <c r="B59" s="411" t="s">
        <v>982</v>
      </c>
      <c r="C59" s="134" t="s">
        <v>413</v>
      </c>
      <c r="D59" s="134" t="s">
        <v>203</v>
      </c>
      <c r="E59" s="133" t="s">
        <v>215</v>
      </c>
      <c r="F59" s="133" t="s">
        <v>241</v>
      </c>
      <c r="G59" s="146">
        <f>'пр. 10 2020г'!G104</f>
        <v>157</v>
      </c>
      <c r="H59" s="146"/>
      <c r="I59" s="146">
        <v>0</v>
      </c>
      <c r="J59" s="218">
        <f>G59-I59</f>
        <v>157</v>
      </c>
    </row>
    <row r="60" spans="1:12" ht="38.25">
      <c r="A60" s="616" t="s">
        <v>577</v>
      </c>
      <c r="B60" s="411" t="s">
        <v>982</v>
      </c>
      <c r="C60" s="129"/>
      <c r="D60" s="134" t="s">
        <v>203</v>
      </c>
      <c r="E60" s="133" t="s">
        <v>215</v>
      </c>
      <c r="F60" s="133" t="s">
        <v>241</v>
      </c>
      <c r="G60" s="146">
        <f>G61</f>
        <v>157</v>
      </c>
      <c r="H60" s="146"/>
      <c r="I60" s="146">
        <f>I61</f>
        <v>157</v>
      </c>
      <c r="J60" s="218">
        <f>G60-I60</f>
        <v>0</v>
      </c>
    </row>
    <row r="61" spans="1:12" s="151" customFormat="1" ht="38.25">
      <c r="A61" s="139" t="s">
        <v>275</v>
      </c>
      <c r="B61" s="411" t="s">
        <v>982</v>
      </c>
      <c r="C61" s="134" t="s">
        <v>413</v>
      </c>
      <c r="D61" s="134" t="s">
        <v>203</v>
      </c>
      <c r="E61" s="133" t="s">
        <v>215</v>
      </c>
      <c r="F61" s="133" t="s">
        <v>241</v>
      </c>
      <c r="G61" s="146">
        <f>'пр. 10 2020г'!G102</f>
        <v>157</v>
      </c>
      <c r="H61" s="146" t="e">
        <f>#REF!</f>
        <v>#REF!</v>
      </c>
      <c r="I61" s="146">
        <f>G61</f>
        <v>157</v>
      </c>
      <c r="J61" s="218">
        <f>G61-I61</f>
        <v>0</v>
      </c>
    </row>
    <row r="62" spans="1:12" ht="38.25">
      <c r="A62" s="256" t="s">
        <v>897</v>
      </c>
      <c r="B62" s="257" t="s">
        <v>523</v>
      </c>
      <c r="C62" s="257"/>
      <c r="D62" s="257"/>
      <c r="E62" s="337"/>
      <c r="F62" s="337"/>
      <c r="G62" s="400">
        <f>G64</f>
        <v>1000</v>
      </c>
      <c r="H62" s="400" t="e">
        <f>#REF!</f>
        <v>#REF!</v>
      </c>
      <c r="I62" s="400">
        <f>I64</f>
        <v>0</v>
      </c>
      <c r="J62" s="218">
        <f>G62-I62</f>
        <v>1000</v>
      </c>
    </row>
    <row r="63" spans="1:12" ht="25.5">
      <c r="A63" s="135" t="s">
        <v>1020</v>
      </c>
      <c r="B63" s="121" t="s">
        <v>997</v>
      </c>
      <c r="C63" s="558"/>
      <c r="D63" s="558" t="s">
        <v>203</v>
      </c>
      <c r="E63" s="558" t="s">
        <v>228</v>
      </c>
      <c r="F63" s="558" t="s">
        <v>218</v>
      </c>
      <c r="G63" s="559">
        <f>G64</f>
        <v>1000</v>
      </c>
      <c r="H63" s="559"/>
      <c r="I63" s="559">
        <f>I64</f>
        <v>0</v>
      </c>
      <c r="J63" s="218"/>
    </row>
    <row r="64" spans="1:12" ht="13.5">
      <c r="A64" s="135" t="s">
        <v>411</v>
      </c>
      <c r="B64" s="121" t="s">
        <v>998</v>
      </c>
      <c r="C64" s="134" t="s">
        <v>422</v>
      </c>
      <c r="D64" s="134" t="s">
        <v>203</v>
      </c>
      <c r="E64" s="133" t="s">
        <v>228</v>
      </c>
      <c r="F64" s="613" t="s">
        <v>218</v>
      </c>
      <c r="G64" s="399">
        <f>'пр. 10 2020г'!G272</f>
        <v>1000</v>
      </c>
      <c r="H64" s="559"/>
      <c r="I64" s="559">
        <v>0</v>
      </c>
      <c r="J64" s="218">
        <f>G64-I64</f>
        <v>1000</v>
      </c>
    </row>
    <row r="65" spans="1:10" ht="38.25">
      <c r="A65" s="256" t="s">
        <v>898</v>
      </c>
      <c r="B65" s="257" t="s">
        <v>521</v>
      </c>
      <c r="C65" s="257"/>
      <c r="D65" s="257" t="s">
        <v>203</v>
      </c>
      <c r="E65" s="337"/>
      <c r="F65" s="337"/>
      <c r="G65" s="400">
        <f>G66</f>
        <v>1060</v>
      </c>
      <c r="H65" s="400" t="e">
        <f t="shared" ref="H65:I65" si="15">H66</f>
        <v>#REF!</v>
      </c>
      <c r="I65" s="400">
        <f t="shared" si="15"/>
        <v>570</v>
      </c>
      <c r="J65" s="218">
        <f>G65-I65</f>
        <v>490</v>
      </c>
    </row>
    <row r="66" spans="1:10" ht="25.5">
      <c r="A66" s="211" t="s">
        <v>1054</v>
      </c>
      <c r="B66" s="558" t="s">
        <v>521</v>
      </c>
      <c r="C66" s="558"/>
      <c r="D66" s="688" t="s">
        <v>203</v>
      </c>
      <c r="E66" s="704" t="s">
        <v>224</v>
      </c>
      <c r="F66" s="704" t="s">
        <v>222</v>
      </c>
      <c r="G66" s="559">
        <f>G67+G69+G71+G73</f>
        <v>1060</v>
      </c>
      <c r="H66" s="559" t="e">
        <f t="shared" ref="H66:I66" si="16">H67+H69+H71+H73</f>
        <v>#REF!</v>
      </c>
      <c r="I66" s="559">
        <f t="shared" si="16"/>
        <v>570</v>
      </c>
      <c r="J66" s="218"/>
    </row>
    <row r="67" spans="1:10" ht="41.25" customHeight="1">
      <c r="A67" s="669" t="s">
        <v>739</v>
      </c>
      <c r="B67" s="134" t="s">
        <v>522</v>
      </c>
      <c r="C67" s="134"/>
      <c r="D67" s="134" t="s">
        <v>203</v>
      </c>
      <c r="E67" s="133" t="s">
        <v>224</v>
      </c>
      <c r="F67" s="133" t="s">
        <v>222</v>
      </c>
      <c r="G67" s="146">
        <f>G68</f>
        <v>170</v>
      </c>
      <c r="H67" s="146" t="e">
        <f>H68</f>
        <v>#REF!</v>
      </c>
      <c r="I67" s="146">
        <f>I68</f>
        <v>170</v>
      </c>
      <c r="J67" s="218">
        <f>G67-I67</f>
        <v>0</v>
      </c>
    </row>
    <row r="68" spans="1:10" ht="24" customHeight="1">
      <c r="A68" s="139" t="s">
        <v>275</v>
      </c>
      <c r="B68" s="134" t="s">
        <v>522</v>
      </c>
      <c r="C68" s="134" t="s">
        <v>413</v>
      </c>
      <c r="D68" s="134" t="s">
        <v>203</v>
      </c>
      <c r="E68" s="133" t="s">
        <v>224</v>
      </c>
      <c r="F68" s="133" t="s">
        <v>222</v>
      </c>
      <c r="G68" s="146">
        <f>'пр. 10 2020г'!G161</f>
        <v>170</v>
      </c>
      <c r="H68" s="146" t="e">
        <f>#REF!</f>
        <v>#REF!</v>
      </c>
      <c r="I68" s="146">
        <f>G68</f>
        <v>170</v>
      </c>
      <c r="J68" s="218">
        <f>G68-I68</f>
        <v>0</v>
      </c>
    </row>
    <row r="69" spans="1:10" ht="56.25" customHeight="1">
      <c r="A69" s="660" t="s">
        <v>740</v>
      </c>
      <c r="B69" s="134" t="s">
        <v>522</v>
      </c>
      <c r="C69" s="134"/>
      <c r="D69" s="134" t="s">
        <v>203</v>
      </c>
      <c r="E69" s="133" t="s">
        <v>224</v>
      </c>
      <c r="F69" s="133" t="s">
        <v>222</v>
      </c>
      <c r="G69" s="146">
        <f>G70</f>
        <v>90</v>
      </c>
      <c r="H69" s="146" t="e">
        <f>H70</f>
        <v>#REF!</v>
      </c>
      <c r="I69" s="146">
        <f>I70</f>
        <v>0</v>
      </c>
      <c r="J69" s="218">
        <f>G69-I69</f>
        <v>90</v>
      </c>
    </row>
    <row r="70" spans="1:10" ht="27.75" customHeight="1">
      <c r="A70" s="139" t="s">
        <v>275</v>
      </c>
      <c r="B70" s="134" t="s">
        <v>522</v>
      </c>
      <c r="C70" s="134" t="s">
        <v>413</v>
      </c>
      <c r="D70" s="134" t="s">
        <v>203</v>
      </c>
      <c r="E70" s="133" t="s">
        <v>224</v>
      </c>
      <c r="F70" s="133" t="s">
        <v>222</v>
      </c>
      <c r="G70" s="146">
        <f>'пр. 10 2020г'!G159</f>
        <v>90</v>
      </c>
      <c r="H70" s="146" t="e">
        <f>#REF!</f>
        <v>#REF!</v>
      </c>
      <c r="I70" s="146">
        <v>0</v>
      </c>
      <c r="J70" s="218">
        <f>G70-I70</f>
        <v>90</v>
      </c>
    </row>
    <row r="71" spans="1:10" ht="27.75" customHeight="1">
      <c r="A71" s="139" t="s">
        <v>1219</v>
      </c>
      <c r="B71" s="121" t="s">
        <v>1221</v>
      </c>
      <c r="C71" s="134"/>
      <c r="D71" s="134" t="s">
        <v>203</v>
      </c>
      <c r="E71" s="133" t="s">
        <v>224</v>
      </c>
      <c r="F71" s="133" t="s">
        <v>222</v>
      </c>
      <c r="G71" s="146">
        <f>G72</f>
        <v>400</v>
      </c>
      <c r="H71" s="146"/>
      <c r="I71" s="146">
        <f>I72</f>
        <v>400</v>
      </c>
      <c r="J71" s="218"/>
    </row>
    <row r="72" spans="1:10" ht="27.75" customHeight="1">
      <c r="A72" s="139" t="s">
        <v>275</v>
      </c>
      <c r="B72" s="121" t="s">
        <v>1221</v>
      </c>
      <c r="C72" s="134" t="s">
        <v>413</v>
      </c>
      <c r="D72" s="134" t="s">
        <v>203</v>
      </c>
      <c r="E72" s="133" t="s">
        <v>224</v>
      </c>
      <c r="F72" s="133" t="s">
        <v>222</v>
      </c>
      <c r="G72" s="146">
        <f>'пр. 10 2020г'!G163</f>
        <v>400</v>
      </c>
      <c r="H72" s="146"/>
      <c r="I72" s="146">
        <f>G72</f>
        <v>400</v>
      </c>
      <c r="J72" s="218"/>
    </row>
    <row r="73" spans="1:10" ht="27.75" customHeight="1">
      <c r="A73" s="139" t="s">
        <v>1220</v>
      </c>
      <c r="B73" s="121" t="s">
        <v>1221</v>
      </c>
      <c r="C73" s="134"/>
      <c r="D73" s="134" t="s">
        <v>203</v>
      </c>
      <c r="E73" s="133" t="s">
        <v>224</v>
      </c>
      <c r="F73" s="133" t="s">
        <v>222</v>
      </c>
      <c r="G73" s="146">
        <f>G74</f>
        <v>400</v>
      </c>
      <c r="H73" s="146"/>
      <c r="I73" s="146">
        <v>0</v>
      </c>
      <c r="J73" s="218"/>
    </row>
    <row r="74" spans="1:10" ht="27.75" customHeight="1">
      <c r="A74" s="139" t="s">
        <v>275</v>
      </c>
      <c r="B74" s="121" t="s">
        <v>1221</v>
      </c>
      <c r="C74" s="134" t="s">
        <v>413</v>
      </c>
      <c r="D74" s="134" t="s">
        <v>203</v>
      </c>
      <c r="E74" s="133" t="s">
        <v>224</v>
      </c>
      <c r="F74" s="133" t="s">
        <v>222</v>
      </c>
      <c r="G74" s="146">
        <f>'пр. 10 2020г'!G165</f>
        <v>400</v>
      </c>
      <c r="H74" s="146"/>
      <c r="I74" s="146">
        <v>0</v>
      </c>
      <c r="J74" s="218"/>
    </row>
    <row r="75" spans="1:10" ht="38.25">
      <c r="A75" s="142" t="s">
        <v>899</v>
      </c>
      <c r="B75" s="134" t="s">
        <v>985</v>
      </c>
      <c r="C75" s="132"/>
      <c r="D75" s="132" t="s">
        <v>203</v>
      </c>
      <c r="E75" s="132" t="s">
        <v>218</v>
      </c>
      <c r="F75" s="132" t="s">
        <v>219</v>
      </c>
      <c r="G75" s="144">
        <f>G77</f>
        <v>1150.3455000000001</v>
      </c>
      <c r="H75" s="146"/>
      <c r="I75" s="144">
        <f>I77</f>
        <v>0</v>
      </c>
      <c r="J75" s="218">
        <f>G75-I75</f>
        <v>1150.3455000000001</v>
      </c>
    </row>
    <row r="76" spans="1:10" ht="36.75" customHeight="1">
      <c r="A76" s="211" t="s">
        <v>1010</v>
      </c>
      <c r="B76" s="134" t="s">
        <v>540</v>
      </c>
      <c r="C76" s="558"/>
      <c r="D76" s="134" t="s">
        <v>203</v>
      </c>
      <c r="E76" s="134" t="s">
        <v>218</v>
      </c>
      <c r="F76" s="134" t="s">
        <v>219</v>
      </c>
      <c r="G76" s="559">
        <f>G77</f>
        <v>1150.3455000000001</v>
      </c>
      <c r="H76" s="399"/>
      <c r="I76" s="559">
        <v>0</v>
      </c>
      <c r="J76" s="218"/>
    </row>
    <row r="77" spans="1:10" ht="38.25">
      <c r="A77" s="139" t="s">
        <v>275</v>
      </c>
      <c r="B77" s="134" t="s">
        <v>540</v>
      </c>
      <c r="C77" s="134" t="s">
        <v>413</v>
      </c>
      <c r="D77" s="134" t="s">
        <v>203</v>
      </c>
      <c r="E77" s="134" t="s">
        <v>218</v>
      </c>
      <c r="F77" s="134" t="s">
        <v>219</v>
      </c>
      <c r="G77" s="146">
        <f>'пр. 10 2020г'!G127</f>
        <v>1150.3455000000001</v>
      </c>
      <c r="H77" s="146"/>
      <c r="I77" s="146">
        <v>0</v>
      </c>
      <c r="J77" s="218">
        <f>G77-I77</f>
        <v>1150.3455000000001</v>
      </c>
    </row>
    <row r="78" spans="1:10" ht="38.25">
      <c r="A78" s="142" t="s">
        <v>900</v>
      </c>
      <c r="B78" s="132" t="s">
        <v>621</v>
      </c>
      <c r="C78" s="132"/>
      <c r="D78" s="132" t="s">
        <v>203</v>
      </c>
      <c r="E78" s="132"/>
      <c r="F78" s="132"/>
      <c r="G78" s="144">
        <f>G80+G81+G82+G83+G85</f>
        <v>17066.652560000002</v>
      </c>
      <c r="H78" s="144">
        <f t="shared" ref="H78:I78" si="17">H80+H81+H82+H83+H85</f>
        <v>0</v>
      </c>
      <c r="I78" s="144">
        <f t="shared" si="17"/>
        <v>7745.2000000000007</v>
      </c>
      <c r="J78" s="798">
        <f>G78-I78</f>
        <v>9321.4525600000015</v>
      </c>
    </row>
    <row r="79" spans="1:10" ht="36" customHeight="1">
      <c r="A79" s="142" t="s">
        <v>1019</v>
      </c>
      <c r="B79" s="132" t="s">
        <v>1055</v>
      </c>
      <c r="C79" s="132"/>
      <c r="D79" s="132" t="s">
        <v>203</v>
      </c>
      <c r="E79" s="132" t="s">
        <v>223</v>
      </c>
      <c r="F79" s="132" t="s">
        <v>1056</v>
      </c>
      <c r="G79" s="144">
        <f>G80+G81+G82+G83+G85</f>
        <v>17066.652560000002</v>
      </c>
      <c r="H79" s="144">
        <f t="shared" ref="H79:I79" si="18">H80+H81+H82+H83+H85</f>
        <v>0</v>
      </c>
      <c r="I79" s="144">
        <f t="shared" si="18"/>
        <v>7745.2000000000007</v>
      </c>
      <c r="J79" s="218"/>
    </row>
    <row r="80" spans="1:10" ht="38.25">
      <c r="A80" s="139" t="s">
        <v>275</v>
      </c>
      <c r="B80" s="129" t="s">
        <v>563</v>
      </c>
      <c r="C80" s="129" t="s">
        <v>413</v>
      </c>
      <c r="D80" s="134" t="s">
        <v>203</v>
      </c>
      <c r="E80" s="134" t="s">
        <v>223</v>
      </c>
      <c r="F80" s="134" t="s">
        <v>215</v>
      </c>
      <c r="G80" s="146">
        <f>'пр. 10 2020г'!G244</f>
        <v>887.96270000000004</v>
      </c>
      <c r="H80" s="146"/>
      <c r="I80" s="146">
        <v>0</v>
      </c>
      <c r="J80" s="218">
        <f t="shared" ref="J80:J87" si="19">G80-I80</f>
        <v>887.96270000000004</v>
      </c>
    </row>
    <row r="81" spans="1:10">
      <c r="A81" s="618" t="s">
        <v>736</v>
      </c>
      <c r="B81" s="129" t="s">
        <v>563</v>
      </c>
      <c r="C81" s="129" t="s">
        <v>735</v>
      </c>
      <c r="D81" s="134" t="s">
        <v>203</v>
      </c>
      <c r="E81" s="134" t="s">
        <v>223</v>
      </c>
      <c r="F81" s="134" t="s">
        <v>215</v>
      </c>
      <c r="G81" s="146">
        <f>'пр. 10 2020г'!G245</f>
        <v>150</v>
      </c>
      <c r="H81" s="146"/>
      <c r="I81" s="146">
        <v>0</v>
      </c>
      <c r="J81" s="218">
        <f t="shared" si="19"/>
        <v>150</v>
      </c>
    </row>
    <row r="82" spans="1:10">
      <c r="A82" s="135" t="s">
        <v>350</v>
      </c>
      <c r="B82" s="129" t="s">
        <v>563</v>
      </c>
      <c r="C82" s="129" t="s">
        <v>351</v>
      </c>
      <c r="D82" s="134" t="s">
        <v>203</v>
      </c>
      <c r="E82" s="134" t="s">
        <v>223</v>
      </c>
      <c r="F82" s="134" t="s">
        <v>218</v>
      </c>
      <c r="G82" s="146">
        <f>'пр. 10 2020г'!G256</f>
        <v>4430.4098599999998</v>
      </c>
      <c r="H82" s="146"/>
      <c r="I82" s="146">
        <v>0</v>
      </c>
      <c r="J82" s="218">
        <f t="shared" si="19"/>
        <v>4430.4098599999998</v>
      </c>
    </row>
    <row r="83" spans="1:10" ht="25.5">
      <c r="A83" s="68" t="s">
        <v>795</v>
      </c>
      <c r="B83" s="637" t="s">
        <v>798</v>
      </c>
      <c r="C83" s="129"/>
      <c r="D83" s="134" t="s">
        <v>203</v>
      </c>
      <c r="E83" s="134" t="s">
        <v>223</v>
      </c>
      <c r="F83" s="134" t="s">
        <v>218</v>
      </c>
      <c r="G83" s="146">
        <f>G84</f>
        <v>7745.2000000000007</v>
      </c>
      <c r="H83" s="146">
        <f t="shared" ref="H83:I83" si="20">H84</f>
        <v>0</v>
      </c>
      <c r="I83" s="146">
        <f t="shared" si="20"/>
        <v>7745.2000000000007</v>
      </c>
      <c r="J83" s="218">
        <f t="shared" si="19"/>
        <v>0</v>
      </c>
    </row>
    <row r="84" spans="1:10">
      <c r="A84" s="135" t="s">
        <v>348</v>
      </c>
      <c r="B84" s="638" t="s">
        <v>798</v>
      </c>
      <c r="C84" s="129" t="s">
        <v>421</v>
      </c>
      <c r="D84" s="134" t="s">
        <v>203</v>
      </c>
      <c r="E84" s="134" t="s">
        <v>223</v>
      </c>
      <c r="F84" s="134" t="s">
        <v>218</v>
      </c>
      <c r="G84" s="146">
        <f>'пр. 10 2020г'!G258</f>
        <v>7745.2000000000007</v>
      </c>
      <c r="H84" s="146"/>
      <c r="I84" s="146">
        <f>G84</f>
        <v>7745.2000000000007</v>
      </c>
      <c r="J84" s="218">
        <f t="shared" si="19"/>
        <v>0</v>
      </c>
    </row>
    <row r="85" spans="1:10" ht="38.25">
      <c r="A85" s="68" t="s">
        <v>810</v>
      </c>
      <c r="B85" s="637" t="s">
        <v>798</v>
      </c>
      <c r="C85" s="129"/>
      <c r="D85" s="134" t="s">
        <v>203</v>
      </c>
      <c r="E85" s="134" t="s">
        <v>223</v>
      </c>
      <c r="F85" s="134" t="s">
        <v>218</v>
      </c>
      <c r="G85" s="146">
        <f>G86</f>
        <v>3853.08</v>
      </c>
      <c r="H85" s="146">
        <f t="shared" ref="H85:I85" si="21">H86</f>
        <v>0</v>
      </c>
      <c r="I85" s="146">
        <f t="shared" si="21"/>
        <v>0</v>
      </c>
      <c r="J85" s="218">
        <f t="shared" si="19"/>
        <v>3853.08</v>
      </c>
    </row>
    <row r="86" spans="1:10" ht="19.5" customHeight="1">
      <c r="A86" s="135" t="s">
        <v>348</v>
      </c>
      <c r="B86" s="638" t="s">
        <v>798</v>
      </c>
      <c r="C86" s="129" t="s">
        <v>421</v>
      </c>
      <c r="D86" s="134" t="s">
        <v>203</v>
      </c>
      <c r="E86" s="134" t="s">
        <v>223</v>
      </c>
      <c r="F86" s="134" t="s">
        <v>218</v>
      </c>
      <c r="G86" s="146">
        <f>'пр. 10 2020г'!G260</f>
        <v>3853.08</v>
      </c>
      <c r="H86" s="146"/>
      <c r="I86" s="146">
        <v>0</v>
      </c>
      <c r="J86" s="218">
        <f t="shared" si="19"/>
        <v>3853.08</v>
      </c>
    </row>
    <row r="87" spans="1:10" ht="53.25" customHeight="1">
      <c r="A87" s="338" t="s">
        <v>838</v>
      </c>
      <c r="B87" s="232" t="s">
        <v>594</v>
      </c>
      <c r="C87" s="232"/>
      <c r="D87" s="232" t="s">
        <v>203</v>
      </c>
      <c r="E87" s="232"/>
      <c r="F87" s="232"/>
      <c r="G87" s="359">
        <f>G88</f>
        <v>955.05000000000018</v>
      </c>
      <c r="H87" s="359" t="e">
        <f>H768+H91+#REF!+#REF!</f>
        <v>#REF!</v>
      </c>
      <c r="I87" s="359">
        <f>I88</f>
        <v>0</v>
      </c>
      <c r="J87" s="218">
        <f t="shared" si="19"/>
        <v>955.05000000000018</v>
      </c>
    </row>
    <row r="88" spans="1:10" ht="53.25" customHeight="1">
      <c r="A88" s="338" t="s">
        <v>1011</v>
      </c>
      <c r="B88" s="232" t="s">
        <v>594</v>
      </c>
      <c r="C88" s="232"/>
      <c r="D88" s="232" t="s">
        <v>203</v>
      </c>
      <c r="E88" s="232" t="s">
        <v>1057</v>
      </c>
      <c r="F88" s="232" t="s">
        <v>1058</v>
      </c>
      <c r="G88" s="359">
        <f>G89+G91</f>
        <v>955.05000000000018</v>
      </c>
      <c r="H88" s="359">
        <f t="shared" ref="H88:I88" si="22">H89+H91</f>
        <v>0</v>
      </c>
      <c r="I88" s="359">
        <f t="shared" si="22"/>
        <v>0</v>
      </c>
      <c r="J88" s="218"/>
    </row>
    <row r="89" spans="1:10" ht="51">
      <c r="A89" s="139" t="s">
        <v>569</v>
      </c>
      <c r="B89" s="129" t="s">
        <v>542</v>
      </c>
      <c r="C89" s="129" t="s">
        <v>515</v>
      </c>
      <c r="D89" s="134" t="s">
        <v>203</v>
      </c>
      <c r="E89" s="134" t="s">
        <v>224</v>
      </c>
      <c r="F89" s="134" t="s">
        <v>225</v>
      </c>
      <c r="G89" s="146">
        <f>'пр. 10 2020г'!G146</f>
        <v>750</v>
      </c>
      <c r="H89" s="146"/>
      <c r="I89" s="146">
        <v>0</v>
      </c>
      <c r="J89" s="218">
        <f>G89-I89</f>
        <v>750</v>
      </c>
    </row>
    <row r="90" spans="1:10" ht="25.5">
      <c r="A90" s="139" t="s">
        <v>1059</v>
      </c>
      <c r="B90" s="129" t="s">
        <v>1060</v>
      </c>
      <c r="C90" s="129"/>
      <c r="D90" s="134" t="s">
        <v>203</v>
      </c>
      <c r="E90" s="169" t="s">
        <v>228</v>
      </c>
      <c r="F90" s="169" t="s">
        <v>218</v>
      </c>
      <c r="G90" s="146">
        <f>G91</f>
        <v>205.05000000000015</v>
      </c>
      <c r="H90" s="146"/>
      <c r="I90" s="146">
        <f>I91</f>
        <v>0</v>
      </c>
      <c r="J90" s="218"/>
    </row>
    <row r="91" spans="1:10" ht="89.25">
      <c r="A91" s="658" t="s">
        <v>841</v>
      </c>
      <c r="B91" s="659" t="s">
        <v>993</v>
      </c>
      <c r="C91" s="129"/>
      <c r="D91" s="134" t="s">
        <v>203</v>
      </c>
      <c r="E91" s="169" t="s">
        <v>228</v>
      </c>
      <c r="F91" s="169" t="s">
        <v>218</v>
      </c>
      <c r="G91" s="146">
        <f>G92</f>
        <v>205.05000000000015</v>
      </c>
      <c r="H91" s="146"/>
      <c r="I91" s="146">
        <f>I92</f>
        <v>0</v>
      </c>
      <c r="J91" s="218"/>
    </row>
    <row r="92" spans="1:10" ht="27.75" customHeight="1">
      <c r="A92" s="135" t="s">
        <v>411</v>
      </c>
      <c r="B92" s="659" t="s">
        <v>993</v>
      </c>
      <c r="C92" s="169" t="s">
        <v>422</v>
      </c>
      <c r="D92" s="134" t="s">
        <v>203</v>
      </c>
      <c r="E92" s="169" t="s">
        <v>228</v>
      </c>
      <c r="F92" s="169" t="s">
        <v>218</v>
      </c>
      <c r="G92" s="146">
        <f>'пр. 10 2020г'!G285</f>
        <v>205.05000000000015</v>
      </c>
      <c r="H92" s="146"/>
      <c r="I92" s="146">
        <v>0</v>
      </c>
      <c r="J92" s="218">
        <f>G92-I92</f>
        <v>205.05000000000015</v>
      </c>
    </row>
    <row r="93" spans="1:10" ht="54" customHeight="1">
      <c r="A93" s="140" t="s">
        <v>767</v>
      </c>
      <c r="B93" s="131" t="s">
        <v>594</v>
      </c>
      <c r="C93" s="132"/>
      <c r="D93" s="132" t="s">
        <v>662</v>
      </c>
      <c r="E93" s="132" t="s">
        <v>224</v>
      </c>
      <c r="F93" s="132" t="s">
        <v>222</v>
      </c>
      <c r="G93" s="144">
        <f>G95+G96+G98</f>
        <v>1825</v>
      </c>
      <c r="H93" s="144">
        <f t="shared" ref="H93:I93" si="23">H95+H96+H98</f>
        <v>0</v>
      </c>
      <c r="I93" s="144">
        <f t="shared" si="23"/>
        <v>500</v>
      </c>
      <c r="J93" s="218">
        <f>G93-I93</f>
        <v>1325</v>
      </c>
    </row>
    <row r="94" spans="1:10" ht="54" customHeight="1">
      <c r="A94" s="556" t="s">
        <v>1002</v>
      </c>
      <c r="B94" s="704" t="s">
        <v>594</v>
      </c>
      <c r="C94" s="558"/>
      <c r="D94" s="688" t="s">
        <v>662</v>
      </c>
      <c r="E94" s="704" t="s">
        <v>224</v>
      </c>
      <c r="F94" s="704" t="s">
        <v>222</v>
      </c>
      <c r="G94" s="559">
        <f>G95+G96+G98</f>
        <v>1825</v>
      </c>
      <c r="H94" s="559">
        <f t="shared" ref="H94:I94" si="24">H95+H96+H98</f>
        <v>0</v>
      </c>
      <c r="I94" s="559">
        <f t="shared" si="24"/>
        <v>500</v>
      </c>
      <c r="J94" s="218"/>
    </row>
    <row r="95" spans="1:10" ht="37.5" customHeight="1">
      <c r="A95" s="254" t="s">
        <v>263</v>
      </c>
      <c r="B95" s="134" t="s">
        <v>547</v>
      </c>
      <c r="C95" s="134" t="s">
        <v>413</v>
      </c>
      <c r="D95" s="134" t="s">
        <v>662</v>
      </c>
      <c r="E95" s="133" t="s">
        <v>224</v>
      </c>
      <c r="F95" s="133" t="s">
        <v>222</v>
      </c>
      <c r="G95" s="146">
        <f>'пр. 10 2020г'!G458</f>
        <v>1200</v>
      </c>
      <c r="H95" s="146"/>
      <c r="I95" s="146">
        <v>0</v>
      </c>
      <c r="J95" s="218">
        <f t="shared" ref="J95:J106" si="25">G95-I95</f>
        <v>1200</v>
      </c>
    </row>
    <row r="96" spans="1:10" ht="38.25">
      <c r="A96" s="642" t="s">
        <v>442</v>
      </c>
      <c r="B96" s="121" t="s">
        <v>734</v>
      </c>
      <c r="C96" s="134"/>
      <c r="D96" s="134" t="s">
        <v>662</v>
      </c>
      <c r="E96" s="133" t="s">
        <v>224</v>
      </c>
      <c r="F96" s="133" t="s">
        <v>222</v>
      </c>
      <c r="G96" s="146">
        <f>G97</f>
        <v>500</v>
      </c>
      <c r="H96" s="146"/>
      <c r="I96" s="146">
        <f>G96</f>
        <v>500</v>
      </c>
      <c r="J96" s="218">
        <f t="shared" si="25"/>
        <v>0</v>
      </c>
    </row>
    <row r="97" spans="1:12" ht="38.25">
      <c r="A97" s="139" t="s">
        <v>275</v>
      </c>
      <c r="B97" s="121" t="s">
        <v>734</v>
      </c>
      <c r="C97" s="134" t="s">
        <v>413</v>
      </c>
      <c r="D97" s="134" t="s">
        <v>662</v>
      </c>
      <c r="E97" s="133" t="s">
        <v>224</v>
      </c>
      <c r="F97" s="133" t="s">
        <v>222</v>
      </c>
      <c r="G97" s="146">
        <f>'пр. 10 2020г'!G459</f>
        <v>500</v>
      </c>
      <c r="H97" s="146"/>
      <c r="I97" s="146">
        <f>G97</f>
        <v>500</v>
      </c>
      <c r="J97" s="218">
        <f t="shared" si="25"/>
        <v>0</v>
      </c>
    </row>
    <row r="98" spans="1:12" ht="51">
      <c r="A98" s="533" t="s">
        <v>604</v>
      </c>
      <c r="B98" s="143" t="s">
        <v>603</v>
      </c>
      <c r="C98" s="133"/>
      <c r="D98" s="134" t="s">
        <v>662</v>
      </c>
      <c r="E98" s="133" t="s">
        <v>224</v>
      </c>
      <c r="F98" s="133" t="s">
        <v>222</v>
      </c>
      <c r="G98" s="146">
        <f>G99</f>
        <v>125</v>
      </c>
      <c r="H98" s="146"/>
      <c r="I98" s="146">
        <v>0</v>
      </c>
      <c r="J98" s="218">
        <f t="shared" si="25"/>
        <v>125</v>
      </c>
    </row>
    <row r="99" spans="1:12" ht="38.25">
      <c r="A99" s="254" t="s">
        <v>263</v>
      </c>
      <c r="B99" s="121" t="s">
        <v>603</v>
      </c>
      <c r="C99" s="134" t="s">
        <v>413</v>
      </c>
      <c r="D99" s="134" t="s">
        <v>662</v>
      </c>
      <c r="E99" s="133" t="s">
        <v>224</v>
      </c>
      <c r="F99" s="133" t="s">
        <v>222</v>
      </c>
      <c r="G99" s="146">
        <f>'пр. 10 2020г'!G462</f>
        <v>125</v>
      </c>
      <c r="H99" s="146"/>
      <c r="I99" s="146">
        <v>0</v>
      </c>
      <c r="J99" s="218">
        <f t="shared" si="25"/>
        <v>125</v>
      </c>
    </row>
    <row r="100" spans="1:12" ht="38.25" hidden="1">
      <c r="A100" s="135" t="s">
        <v>690</v>
      </c>
      <c r="B100" s="129" t="s">
        <v>691</v>
      </c>
      <c r="C100" s="121"/>
      <c r="D100" s="134" t="s">
        <v>662</v>
      </c>
      <c r="E100" s="133" t="s">
        <v>224</v>
      </c>
      <c r="F100" s="133" t="s">
        <v>222</v>
      </c>
      <c r="G100" s="146" t="e">
        <f>G101</f>
        <v>#REF!</v>
      </c>
      <c r="H100" s="146"/>
      <c r="I100" s="146" t="e">
        <f>I101</f>
        <v>#REF!</v>
      </c>
      <c r="J100" s="218" t="e">
        <f t="shared" si="25"/>
        <v>#REF!</v>
      </c>
    </row>
    <row r="101" spans="1:12" ht="25.5" hidden="1">
      <c r="A101" s="254" t="s">
        <v>446</v>
      </c>
      <c r="B101" s="129" t="s">
        <v>691</v>
      </c>
      <c r="C101" s="133" t="s">
        <v>163</v>
      </c>
      <c r="D101" s="134" t="s">
        <v>662</v>
      </c>
      <c r="E101" s="133" t="s">
        <v>224</v>
      </c>
      <c r="F101" s="133" t="s">
        <v>222</v>
      </c>
      <c r="G101" s="146" t="e">
        <f>G102</f>
        <v>#REF!</v>
      </c>
      <c r="H101" s="146"/>
      <c r="I101" s="146" t="e">
        <f>I102</f>
        <v>#REF!</v>
      </c>
      <c r="J101" s="218" t="e">
        <f t="shared" si="25"/>
        <v>#REF!</v>
      </c>
    </row>
    <row r="102" spans="1:12" ht="38.25" hidden="1">
      <c r="A102" s="254" t="s">
        <v>263</v>
      </c>
      <c r="B102" s="129" t="s">
        <v>691</v>
      </c>
      <c r="C102" s="134" t="s">
        <v>164</v>
      </c>
      <c r="D102" s="134" t="s">
        <v>662</v>
      </c>
      <c r="E102" s="133" t="s">
        <v>224</v>
      </c>
      <c r="F102" s="133" t="s">
        <v>222</v>
      </c>
      <c r="G102" s="146" t="e">
        <f>'пр. 10 2020г'!#REF!</f>
        <v>#REF!</v>
      </c>
      <c r="H102" s="146"/>
      <c r="I102" s="146" t="e">
        <f>G102</f>
        <v>#REF!</v>
      </c>
      <c r="J102" s="218" t="e">
        <f t="shared" si="25"/>
        <v>#REF!</v>
      </c>
    </row>
    <row r="103" spans="1:12" ht="51" hidden="1">
      <c r="A103" s="139" t="s">
        <v>689</v>
      </c>
      <c r="B103" s="121"/>
      <c r="C103" s="134"/>
      <c r="D103" s="134" t="s">
        <v>662</v>
      </c>
      <c r="E103" s="133" t="s">
        <v>224</v>
      </c>
      <c r="F103" s="133" t="s">
        <v>222</v>
      </c>
      <c r="G103" s="146" t="e">
        <f>G104</f>
        <v>#REF!</v>
      </c>
      <c r="H103" s="146"/>
      <c r="I103" s="146">
        <f>I104</f>
        <v>0</v>
      </c>
      <c r="J103" s="218" t="e">
        <f t="shared" si="25"/>
        <v>#REF!</v>
      </c>
    </row>
    <row r="104" spans="1:12" ht="25.5" hidden="1">
      <c r="A104" s="254" t="s">
        <v>446</v>
      </c>
      <c r="B104" s="121" t="s">
        <v>691</v>
      </c>
      <c r="C104" s="134" t="s">
        <v>163</v>
      </c>
      <c r="D104" s="134" t="s">
        <v>662</v>
      </c>
      <c r="E104" s="133" t="s">
        <v>224</v>
      </c>
      <c r="F104" s="133" t="s">
        <v>222</v>
      </c>
      <c r="G104" s="146" t="e">
        <f>G105</f>
        <v>#REF!</v>
      </c>
      <c r="H104" s="146"/>
      <c r="I104" s="146">
        <f>I105</f>
        <v>0</v>
      </c>
      <c r="J104" s="218" t="e">
        <f t="shared" si="25"/>
        <v>#REF!</v>
      </c>
    </row>
    <row r="105" spans="1:12" ht="38.25" hidden="1">
      <c r="A105" s="254" t="s">
        <v>263</v>
      </c>
      <c r="B105" s="121" t="s">
        <v>691</v>
      </c>
      <c r="C105" s="134" t="s">
        <v>164</v>
      </c>
      <c r="D105" s="134" t="s">
        <v>662</v>
      </c>
      <c r="E105" s="133" t="s">
        <v>224</v>
      </c>
      <c r="F105" s="133" t="s">
        <v>222</v>
      </c>
      <c r="G105" s="146" t="e">
        <f>'пр. 10 2020г'!#REF!</f>
        <v>#REF!</v>
      </c>
      <c r="H105" s="146"/>
      <c r="I105" s="146">
        <v>0</v>
      </c>
      <c r="J105" s="218" t="e">
        <f t="shared" si="25"/>
        <v>#REF!</v>
      </c>
    </row>
    <row r="106" spans="1:12" ht="38.25">
      <c r="A106" s="499" t="s">
        <v>768</v>
      </c>
      <c r="B106" s="213" t="s">
        <v>828</v>
      </c>
      <c r="C106" s="232"/>
      <c r="D106" s="232" t="s">
        <v>662</v>
      </c>
      <c r="E106" s="598"/>
      <c r="F106" s="598"/>
      <c r="G106" s="359">
        <f>G108+G109+G111+G113+G115+G117+G119</f>
        <v>42981.474419999999</v>
      </c>
      <c r="H106" s="359">
        <f t="shared" ref="H106:I106" si="26">H108+H109+H111+H113+H115+H117+H119</f>
        <v>0</v>
      </c>
      <c r="I106" s="359">
        <f t="shared" si="26"/>
        <v>33833.300000000003</v>
      </c>
      <c r="J106" s="651">
        <f t="shared" si="25"/>
        <v>9148.1744199999957</v>
      </c>
      <c r="K106">
        <v>2384</v>
      </c>
      <c r="L106" s="656">
        <f>K106-J106</f>
        <v>-6764.1744199999957</v>
      </c>
    </row>
    <row r="107" spans="1:12" ht="61.5" customHeight="1">
      <c r="A107" s="211" t="s">
        <v>1001</v>
      </c>
      <c r="B107" s="718" t="s">
        <v>828</v>
      </c>
      <c r="C107" s="558"/>
      <c r="D107" s="558" t="s">
        <v>662</v>
      </c>
      <c r="E107" s="613" t="s">
        <v>1061</v>
      </c>
      <c r="F107" s="613" t="s">
        <v>1062</v>
      </c>
      <c r="G107" s="559">
        <f>G108+G109+G111+G113+G115+G117+G119</f>
        <v>42981.474419999999</v>
      </c>
      <c r="H107" s="559">
        <f t="shared" ref="H107:I107" si="27">H108+H109+H111+H113+H115+H117+H119</f>
        <v>0</v>
      </c>
      <c r="I107" s="559">
        <f t="shared" si="27"/>
        <v>33833.300000000003</v>
      </c>
      <c r="J107" s="651"/>
      <c r="L107" s="656"/>
    </row>
    <row r="108" spans="1:12" ht="38.25">
      <c r="A108" s="139" t="s">
        <v>275</v>
      </c>
      <c r="B108" s="700" t="s">
        <v>622</v>
      </c>
      <c r="C108" s="121" t="s">
        <v>413</v>
      </c>
      <c r="D108" s="134" t="s">
        <v>662</v>
      </c>
      <c r="E108" s="133" t="s">
        <v>224</v>
      </c>
      <c r="F108" s="133" t="s">
        <v>222</v>
      </c>
      <c r="G108" s="146">
        <f>'пр. 10 2020г'!G451</f>
        <v>5000</v>
      </c>
      <c r="H108" s="146"/>
      <c r="I108" s="146">
        <v>0</v>
      </c>
      <c r="J108" s="218"/>
    </row>
    <row r="109" spans="1:12" ht="76.5">
      <c r="A109" s="642" t="s">
        <v>104</v>
      </c>
      <c r="B109" s="121" t="s">
        <v>866</v>
      </c>
      <c r="C109" s="121"/>
      <c r="D109" s="134" t="s">
        <v>662</v>
      </c>
      <c r="E109" s="133" t="s">
        <v>224</v>
      </c>
      <c r="F109" s="133" t="s">
        <v>222</v>
      </c>
      <c r="G109" s="146">
        <f>G110</f>
        <v>14808.8</v>
      </c>
      <c r="H109" s="146">
        <f t="shared" ref="H109:I109" si="28">H110</f>
        <v>0</v>
      </c>
      <c r="I109" s="146">
        <f t="shared" si="28"/>
        <v>14808.8</v>
      </c>
      <c r="J109" s="218"/>
    </row>
    <row r="110" spans="1:12" ht="38.25">
      <c r="A110" s="139" t="s">
        <v>275</v>
      </c>
      <c r="B110" s="121" t="s">
        <v>866</v>
      </c>
      <c r="C110" s="121" t="s">
        <v>413</v>
      </c>
      <c r="D110" s="134" t="s">
        <v>662</v>
      </c>
      <c r="E110" s="133" t="s">
        <v>224</v>
      </c>
      <c r="F110" s="133" t="s">
        <v>222</v>
      </c>
      <c r="G110" s="146">
        <f>'пр. 10 2020г'!G453</f>
        <v>14808.8</v>
      </c>
      <c r="H110" s="146"/>
      <c r="I110" s="146">
        <f>G110</f>
        <v>14808.8</v>
      </c>
      <c r="J110" s="218"/>
    </row>
    <row r="111" spans="1:12" ht="89.25">
      <c r="A111" s="642" t="s">
        <v>602</v>
      </c>
      <c r="B111" s="121" t="s">
        <v>866</v>
      </c>
      <c r="C111" s="121"/>
      <c r="D111" s="134" t="s">
        <v>662</v>
      </c>
      <c r="E111" s="133" t="s">
        <v>224</v>
      </c>
      <c r="F111" s="133" t="s">
        <v>222</v>
      </c>
      <c r="G111" s="146">
        <f>G112</f>
        <v>779.41052999999999</v>
      </c>
      <c r="H111" s="146">
        <f t="shared" ref="H111:I111" si="29">H112</f>
        <v>0</v>
      </c>
      <c r="I111" s="146">
        <f t="shared" si="29"/>
        <v>0</v>
      </c>
      <c r="J111" s="218"/>
    </row>
    <row r="112" spans="1:12" ht="38.25">
      <c r="A112" s="139" t="s">
        <v>275</v>
      </c>
      <c r="B112" s="121" t="s">
        <v>866</v>
      </c>
      <c r="C112" s="121" t="s">
        <v>413</v>
      </c>
      <c r="D112" s="134" t="s">
        <v>662</v>
      </c>
      <c r="E112" s="133" t="s">
        <v>224</v>
      </c>
      <c r="F112" s="133" t="s">
        <v>222</v>
      </c>
      <c r="G112" s="146">
        <f>'пр. 10 2020г'!G455</f>
        <v>779.41052999999999</v>
      </c>
      <c r="H112" s="146"/>
      <c r="I112" s="146">
        <v>0</v>
      </c>
      <c r="J112" s="218"/>
    </row>
    <row r="113" spans="1:10" ht="63.75">
      <c r="A113" s="135" t="s">
        <v>836</v>
      </c>
      <c r="B113" s="121" t="s">
        <v>867</v>
      </c>
      <c r="C113" s="121"/>
      <c r="D113" s="134" t="s">
        <v>662</v>
      </c>
      <c r="E113" s="133" t="s">
        <v>225</v>
      </c>
      <c r="F113" s="133" t="s">
        <v>216</v>
      </c>
      <c r="G113" s="146">
        <f>G114</f>
        <v>9989</v>
      </c>
      <c r="H113" s="146">
        <f t="shared" ref="H113:I113" si="30">H114</f>
        <v>0</v>
      </c>
      <c r="I113" s="146">
        <f t="shared" si="30"/>
        <v>9989</v>
      </c>
      <c r="J113" s="651">
        <f>G113-I113</f>
        <v>0</v>
      </c>
    </row>
    <row r="114" spans="1:10" ht="38.25">
      <c r="A114" s="139" t="s">
        <v>275</v>
      </c>
      <c r="B114" s="121" t="s">
        <v>867</v>
      </c>
      <c r="C114" s="121" t="s">
        <v>413</v>
      </c>
      <c r="D114" s="134" t="s">
        <v>662</v>
      </c>
      <c r="E114" s="133" t="s">
        <v>225</v>
      </c>
      <c r="F114" s="133" t="s">
        <v>216</v>
      </c>
      <c r="G114" s="146">
        <f>'пр. 10 2020г'!G468</f>
        <v>9989</v>
      </c>
      <c r="H114" s="146"/>
      <c r="I114" s="146">
        <f>G114</f>
        <v>9989</v>
      </c>
      <c r="J114" s="218"/>
    </row>
    <row r="115" spans="1:10" ht="76.5">
      <c r="A115" s="139" t="s">
        <v>619</v>
      </c>
      <c r="B115" s="121" t="s">
        <v>867</v>
      </c>
      <c r="C115" s="121"/>
      <c r="D115" s="134" t="s">
        <v>662</v>
      </c>
      <c r="E115" s="133" t="s">
        <v>225</v>
      </c>
      <c r="F115" s="133" t="s">
        <v>216</v>
      </c>
      <c r="G115" s="146">
        <f>G116</f>
        <v>1109.8888899999999</v>
      </c>
      <c r="H115" s="146">
        <f t="shared" ref="H115:I115" si="31">H116</f>
        <v>0</v>
      </c>
      <c r="I115" s="146">
        <f t="shared" si="31"/>
        <v>0</v>
      </c>
      <c r="J115" s="218"/>
    </row>
    <row r="116" spans="1:10" ht="38.25">
      <c r="A116" s="139" t="s">
        <v>275</v>
      </c>
      <c r="B116" s="121" t="s">
        <v>867</v>
      </c>
      <c r="C116" s="121" t="s">
        <v>413</v>
      </c>
      <c r="D116" s="134" t="s">
        <v>662</v>
      </c>
      <c r="E116" s="133" t="s">
        <v>225</v>
      </c>
      <c r="F116" s="133" t="s">
        <v>216</v>
      </c>
      <c r="G116" s="146">
        <f>'пр. 10 2020г'!G470</f>
        <v>1109.8888899999999</v>
      </c>
      <c r="H116" s="146"/>
      <c r="I116" s="146">
        <v>0</v>
      </c>
      <c r="J116" s="218"/>
    </row>
    <row r="117" spans="1:10" ht="38.25">
      <c r="A117" s="139" t="s">
        <v>796</v>
      </c>
      <c r="B117" s="121" t="s">
        <v>842</v>
      </c>
      <c r="C117" s="121"/>
      <c r="D117" s="134" t="s">
        <v>662</v>
      </c>
      <c r="E117" s="133" t="s">
        <v>225</v>
      </c>
      <c r="F117" s="133" t="s">
        <v>216</v>
      </c>
      <c r="G117" s="146">
        <f>G118</f>
        <v>9035.5</v>
      </c>
      <c r="H117" s="146">
        <f t="shared" ref="H117:I117" si="32">H118</f>
        <v>0</v>
      </c>
      <c r="I117" s="146">
        <f t="shared" si="32"/>
        <v>9035.5</v>
      </c>
      <c r="J117" s="218"/>
    </row>
    <row r="118" spans="1:10">
      <c r="A118" s="139" t="s">
        <v>884</v>
      </c>
      <c r="B118" s="121" t="s">
        <v>842</v>
      </c>
      <c r="C118" s="121" t="s">
        <v>105</v>
      </c>
      <c r="D118" s="134" t="s">
        <v>662</v>
      </c>
      <c r="E118" s="133" t="s">
        <v>225</v>
      </c>
      <c r="F118" s="133" t="s">
        <v>216</v>
      </c>
      <c r="G118" s="146">
        <f>'пр. 10 2020г'!G472</f>
        <v>9035.5</v>
      </c>
      <c r="H118" s="146"/>
      <c r="I118" s="146">
        <f>G118</f>
        <v>9035.5</v>
      </c>
      <c r="J118" s="218"/>
    </row>
    <row r="119" spans="1:10" ht="51">
      <c r="A119" s="139" t="s">
        <v>821</v>
      </c>
      <c r="B119" s="121" t="s">
        <v>842</v>
      </c>
      <c r="C119" s="121"/>
      <c r="D119" s="134" t="s">
        <v>662</v>
      </c>
      <c r="E119" s="133" t="s">
        <v>225</v>
      </c>
      <c r="F119" s="133" t="s">
        <v>216</v>
      </c>
      <c r="G119" s="146">
        <f>G120</f>
        <v>2258.875</v>
      </c>
      <c r="H119" s="146">
        <f t="shared" ref="H119:I119" si="33">H120</f>
        <v>0</v>
      </c>
      <c r="I119" s="146">
        <f t="shared" si="33"/>
        <v>0</v>
      </c>
      <c r="J119" s="218"/>
    </row>
    <row r="120" spans="1:10">
      <c r="A120" s="139" t="s">
        <v>884</v>
      </c>
      <c r="B120" s="121" t="s">
        <v>842</v>
      </c>
      <c r="C120" s="121" t="s">
        <v>105</v>
      </c>
      <c r="D120" s="134" t="s">
        <v>662</v>
      </c>
      <c r="E120" s="133" t="s">
        <v>225</v>
      </c>
      <c r="F120" s="133" t="s">
        <v>216</v>
      </c>
      <c r="G120" s="146">
        <f>'пр. 10 2020г'!G474</f>
        <v>2258.875</v>
      </c>
      <c r="H120" s="146"/>
      <c r="I120" s="146">
        <v>0</v>
      </c>
      <c r="J120" s="218"/>
    </row>
    <row r="121" spans="1:10" ht="60.75" customHeight="1">
      <c r="A121" s="142" t="s">
        <v>769</v>
      </c>
      <c r="B121" s="132" t="s">
        <v>975</v>
      </c>
      <c r="C121" s="132"/>
      <c r="D121" s="132" t="s">
        <v>200</v>
      </c>
      <c r="E121" s="232"/>
      <c r="F121" s="232"/>
      <c r="G121" s="359">
        <f>G122+G125</f>
        <v>28754.211780000001</v>
      </c>
      <c r="H121" s="359" t="e">
        <f t="shared" ref="H121:I121" si="34">H122+H125</f>
        <v>#REF!</v>
      </c>
      <c r="I121" s="359">
        <f t="shared" si="34"/>
        <v>3512.9540400000001</v>
      </c>
      <c r="J121" s="798">
        <f>G121-I121</f>
        <v>25241.257740000001</v>
      </c>
    </row>
    <row r="122" spans="1:10" ht="27.75" customHeight="1">
      <c r="A122" s="556" t="s">
        <v>1007</v>
      </c>
      <c r="B122" s="558" t="s">
        <v>1024</v>
      </c>
      <c r="C122" s="558"/>
      <c r="D122" s="121" t="s">
        <v>200</v>
      </c>
      <c r="E122" s="129" t="s">
        <v>215</v>
      </c>
      <c r="F122" s="129" t="s">
        <v>221</v>
      </c>
      <c r="G122" s="559">
        <f>G123+G124</f>
        <v>1215.8709200000001</v>
      </c>
      <c r="H122" s="559" t="e">
        <f t="shared" ref="H122:I122" si="35">H123+H124</f>
        <v>#REF!</v>
      </c>
      <c r="I122" s="559">
        <f t="shared" si="35"/>
        <v>0</v>
      </c>
      <c r="J122" s="218"/>
    </row>
    <row r="123" spans="1:10" ht="37.5" customHeight="1">
      <c r="A123" s="220" t="s">
        <v>418</v>
      </c>
      <c r="B123" s="129" t="s">
        <v>979</v>
      </c>
      <c r="C123" s="688" t="s">
        <v>419</v>
      </c>
      <c r="D123" s="121" t="s">
        <v>200</v>
      </c>
      <c r="E123" s="129" t="s">
        <v>215</v>
      </c>
      <c r="F123" s="129" t="s">
        <v>221</v>
      </c>
      <c r="G123" s="399">
        <f>'пр. 10 2020г'!G43</f>
        <v>738.34400000000005</v>
      </c>
      <c r="H123" s="399"/>
      <c r="I123" s="399">
        <v>0</v>
      </c>
      <c r="J123" s="218"/>
    </row>
    <row r="124" spans="1:10" ht="38.25">
      <c r="A124" s="139" t="s">
        <v>275</v>
      </c>
      <c r="B124" s="129" t="s">
        <v>979</v>
      </c>
      <c r="C124" s="353">
        <v>244</v>
      </c>
      <c r="D124" s="121" t="s">
        <v>200</v>
      </c>
      <c r="E124" s="129" t="s">
        <v>215</v>
      </c>
      <c r="F124" s="129" t="s">
        <v>221</v>
      </c>
      <c r="G124" s="352">
        <f>'пр. 10 2020г'!G44</f>
        <v>477.52692000000002</v>
      </c>
      <c r="H124" s="352" t="e">
        <f>#REF!+#REF!</f>
        <v>#REF!</v>
      </c>
      <c r="I124" s="146">
        <f>0</f>
        <v>0</v>
      </c>
      <c r="J124" s="218">
        <f>G124-I124</f>
        <v>477.52692000000002</v>
      </c>
    </row>
    <row r="125" spans="1:10" ht="25.5">
      <c r="A125" s="556" t="s">
        <v>1008</v>
      </c>
      <c r="B125" s="688" t="s">
        <v>984</v>
      </c>
      <c r="C125" s="353"/>
      <c r="D125" s="121" t="s">
        <v>200</v>
      </c>
      <c r="E125" s="129" t="s">
        <v>228</v>
      </c>
      <c r="F125" s="129" t="s">
        <v>513</v>
      </c>
      <c r="G125" s="352">
        <f>G127+G128+G130+G132</f>
        <v>27538.34086</v>
      </c>
      <c r="H125" s="352">
        <f t="shared" ref="H125:I125" si="36">H127+H128+H130+H132</f>
        <v>0</v>
      </c>
      <c r="I125" s="352">
        <f t="shared" si="36"/>
        <v>3512.9540400000001</v>
      </c>
      <c r="J125" s="218"/>
    </row>
    <row r="126" spans="1:10" ht="25.5">
      <c r="A126" s="136" t="s">
        <v>410</v>
      </c>
      <c r="B126" s="129" t="s">
        <v>565</v>
      </c>
      <c r="C126" s="129"/>
      <c r="D126" s="129" t="s">
        <v>200</v>
      </c>
      <c r="E126" s="129" t="s">
        <v>228</v>
      </c>
      <c r="F126" s="129" t="s">
        <v>215</v>
      </c>
      <c r="G126" s="145">
        <f>G127</f>
        <v>88.5</v>
      </c>
      <c r="H126" s="145"/>
      <c r="I126" s="145">
        <f>G126</f>
        <v>88.5</v>
      </c>
      <c r="J126" s="218">
        <f t="shared" ref="J126:J129" si="37">G126-I126</f>
        <v>0</v>
      </c>
    </row>
    <row r="127" spans="1:10" s="69" customFormat="1">
      <c r="A127" s="135" t="s">
        <v>266</v>
      </c>
      <c r="B127" s="121" t="s">
        <v>565</v>
      </c>
      <c r="C127" s="134" t="s">
        <v>56</v>
      </c>
      <c r="D127" s="134" t="s">
        <v>200</v>
      </c>
      <c r="E127" s="134" t="s">
        <v>228</v>
      </c>
      <c r="F127" s="134" t="s">
        <v>215</v>
      </c>
      <c r="G127" s="146">
        <f>'пр. 10 2020г'!G60</f>
        <v>88.5</v>
      </c>
      <c r="H127" s="146"/>
      <c r="I127" s="146">
        <f>G127</f>
        <v>88.5</v>
      </c>
      <c r="J127" s="218">
        <f t="shared" si="37"/>
        <v>0</v>
      </c>
    </row>
    <row r="128" spans="1:10" ht="45" customHeight="1">
      <c r="A128" s="556" t="s">
        <v>976</v>
      </c>
      <c r="B128" s="489" t="s">
        <v>568</v>
      </c>
      <c r="C128" s="134"/>
      <c r="D128" s="134" t="s">
        <v>200</v>
      </c>
      <c r="E128" s="134" t="s">
        <v>228</v>
      </c>
      <c r="F128" s="134" t="s">
        <v>218</v>
      </c>
      <c r="G128" s="146">
        <f>G129</f>
        <v>23955.5</v>
      </c>
      <c r="H128" s="402"/>
      <c r="I128" s="146">
        <f>I129</f>
        <v>0</v>
      </c>
      <c r="J128" s="218">
        <f t="shared" si="37"/>
        <v>23955.5</v>
      </c>
    </row>
    <row r="129" spans="1:12" ht="11.25" customHeight="1">
      <c r="A129" s="135" t="s">
        <v>411</v>
      </c>
      <c r="B129" s="489" t="s">
        <v>568</v>
      </c>
      <c r="C129" s="134" t="s">
        <v>422</v>
      </c>
      <c r="D129" s="134" t="s">
        <v>200</v>
      </c>
      <c r="E129" s="134" t="s">
        <v>228</v>
      </c>
      <c r="F129" s="134" t="s">
        <v>218</v>
      </c>
      <c r="G129" s="146">
        <f>'пр. 10 2020г'!G65</f>
        <v>23955.5</v>
      </c>
      <c r="H129" s="402"/>
      <c r="I129" s="146">
        <f>'пр. 10 2020г'!H65</f>
        <v>0</v>
      </c>
      <c r="J129" s="218">
        <f t="shared" si="37"/>
        <v>23955.5</v>
      </c>
    </row>
    <row r="130" spans="1:12" ht="80.25" customHeight="1">
      <c r="A130" s="642" t="s">
        <v>918</v>
      </c>
      <c r="B130" s="121" t="s">
        <v>1165</v>
      </c>
      <c r="C130" s="134"/>
      <c r="D130" s="134" t="s">
        <v>200</v>
      </c>
      <c r="E130" s="134" t="s">
        <v>228</v>
      </c>
      <c r="F130" s="134" t="s">
        <v>218</v>
      </c>
      <c r="G130" s="146">
        <f>G131</f>
        <v>3424.4540400000001</v>
      </c>
      <c r="H130" s="402"/>
      <c r="I130" s="146">
        <f>I131</f>
        <v>3424.4540400000001</v>
      </c>
      <c r="J130" s="218"/>
    </row>
    <row r="131" spans="1:12" ht="11.25" customHeight="1">
      <c r="A131" s="135" t="s">
        <v>411</v>
      </c>
      <c r="B131" s="121" t="s">
        <v>1165</v>
      </c>
      <c r="C131" s="134" t="s">
        <v>422</v>
      </c>
      <c r="D131" s="134" t="s">
        <v>200</v>
      </c>
      <c r="E131" s="134" t="s">
        <v>228</v>
      </c>
      <c r="F131" s="134" t="s">
        <v>218</v>
      </c>
      <c r="G131" s="146">
        <f>'пр. 10 2020г'!G67</f>
        <v>3424.4540400000001</v>
      </c>
      <c r="H131" s="402"/>
      <c r="I131" s="146">
        <f>G131</f>
        <v>3424.4540400000001</v>
      </c>
      <c r="J131" s="218"/>
    </row>
    <row r="132" spans="1:12" ht="91.5" customHeight="1">
      <c r="A132" s="642" t="s">
        <v>919</v>
      </c>
      <c r="B132" s="121" t="s">
        <v>1165</v>
      </c>
      <c r="C132" s="134"/>
      <c r="D132" s="134" t="s">
        <v>200</v>
      </c>
      <c r="E132" s="134" t="s">
        <v>228</v>
      </c>
      <c r="F132" s="134" t="s">
        <v>218</v>
      </c>
      <c r="G132" s="146">
        <f>G133</f>
        <v>69.88682</v>
      </c>
      <c r="H132" s="402"/>
      <c r="I132" s="146">
        <v>0</v>
      </c>
      <c r="J132" s="218"/>
    </row>
    <row r="133" spans="1:12" ht="11.25" customHeight="1">
      <c r="A133" s="135" t="s">
        <v>411</v>
      </c>
      <c r="B133" s="121" t="s">
        <v>1165</v>
      </c>
      <c r="C133" s="134" t="s">
        <v>422</v>
      </c>
      <c r="D133" s="134" t="s">
        <v>200</v>
      </c>
      <c r="E133" s="134" t="s">
        <v>228</v>
      </c>
      <c r="F133" s="134" t="s">
        <v>218</v>
      </c>
      <c r="G133" s="146">
        <f>'пр. 10 2020г'!G69</f>
        <v>69.88682</v>
      </c>
      <c r="H133" s="402"/>
      <c r="I133" s="146">
        <v>0</v>
      </c>
      <c r="J133" s="218"/>
    </row>
    <row r="134" spans="1:12" ht="45" customHeight="1">
      <c r="A134" s="499" t="s">
        <v>770</v>
      </c>
      <c r="B134" s="232" t="s">
        <v>933</v>
      </c>
      <c r="C134" s="232"/>
      <c r="D134" s="232" t="s">
        <v>117</v>
      </c>
      <c r="E134" s="232"/>
      <c r="F134" s="232"/>
      <c r="G134" s="359">
        <f>G135+G150+G186+G207+G235+G238+G222+G227</f>
        <v>781142.52277000004</v>
      </c>
      <c r="H134" s="359" t="e">
        <f t="shared" ref="H134" si="38">H135+H150+H186+H207+H235+H238+H222+H227</f>
        <v>#REF!</v>
      </c>
      <c r="I134" s="359">
        <f>I135+I150+I186+I207+I222+I227+I235+I238</f>
        <v>646367.14595999999</v>
      </c>
      <c r="J134" s="651">
        <f>'пр. 10 2020г'!H288</f>
        <v>646367.14595999999</v>
      </c>
      <c r="K134" s="814">
        <f>J134-G134</f>
        <v>-134775.37681000005</v>
      </c>
      <c r="L134" s="647">
        <f>G134-I134</f>
        <v>134775.37681000005</v>
      </c>
    </row>
    <row r="135" spans="1:12" ht="34.5" customHeight="1">
      <c r="A135" s="356" t="s">
        <v>462</v>
      </c>
      <c r="B135" s="703" t="s">
        <v>934</v>
      </c>
      <c r="C135" s="354"/>
      <c r="D135" s="354" t="s">
        <v>117</v>
      </c>
      <c r="E135" s="354" t="s">
        <v>1048</v>
      </c>
      <c r="F135" s="354" t="s">
        <v>1049</v>
      </c>
      <c r="G135" s="355">
        <f>G136</f>
        <v>213860.89087999999</v>
      </c>
      <c r="H135" s="355">
        <f t="shared" ref="H135:I135" si="39">H136</f>
        <v>0</v>
      </c>
      <c r="I135" s="355">
        <f t="shared" si="39"/>
        <v>168379.98298999999</v>
      </c>
      <c r="J135" s="813">
        <f>'пр. 10 2020г'!H290</f>
        <v>165029.98298999999</v>
      </c>
      <c r="K135" s="647">
        <f>I135-J135</f>
        <v>3350</v>
      </c>
    </row>
    <row r="136" spans="1:12" ht="40.5" customHeight="1">
      <c r="A136" s="705" t="s">
        <v>935</v>
      </c>
      <c r="B136" s="704" t="s">
        <v>936</v>
      </c>
      <c r="C136" s="354"/>
      <c r="D136" s="354" t="s">
        <v>117</v>
      </c>
      <c r="E136" s="354" t="s">
        <v>1048</v>
      </c>
      <c r="F136" s="354" t="s">
        <v>1049</v>
      </c>
      <c r="G136" s="355">
        <f>G137+G140+G146+G148+G143</f>
        <v>213860.89087999999</v>
      </c>
      <c r="H136" s="355">
        <f t="shared" ref="H136:I136" si="40">H137+H140+H146+H148+H143</f>
        <v>0</v>
      </c>
      <c r="I136" s="355">
        <f t="shared" si="40"/>
        <v>168379.98298999999</v>
      </c>
      <c r="J136" s="218"/>
    </row>
    <row r="137" spans="1:12" ht="34.5" customHeight="1">
      <c r="A137" s="137" t="s">
        <v>395</v>
      </c>
      <c r="B137" s="129" t="s">
        <v>937</v>
      </c>
      <c r="C137" s="129"/>
      <c r="D137" s="129" t="s">
        <v>117</v>
      </c>
      <c r="E137" s="129" t="s">
        <v>217</v>
      </c>
      <c r="F137" s="129" t="s">
        <v>215</v>
      </c>
      <c r="G137" s="145">
        <f>G138+G139</f>
        <v>45480.907890000002</v>
      </c>
      <c r="H137" s="145">
        <f t="shared" ref="H137:I137" si="41">H138+H139</f>
        <v>0</v>
      </c>
      <c r="I137" s="145">
        <f t="shared" si="41"/>
        <v>0</v>
      </c>
      <c r="J137" s="218">
        <f t="shared" ref="J137:J142" si="42">G137-I137</f>
        <v>45480.907890000002</v>
      </c>
    </row>
    <row r="138" spans="1:12">
      <c r="A138" s="135" t="s">
        <v>269</v>
      </c>
      <c r="B138" s="129" t="s">
        <v>937</v>
      </c>
      <c r="C138" s="129" t="s">
        <v>420</v>
      </c>
      <c r="D138" s="129" t="s">
        <v>117</v>
      </c>
      <c r="E138" s="129" t="s">
        <v>217</v>
      </c>
      <c r="F138" s="129" t="s">
        <v>215</v>
      </c>
      <c r="G138" s="145">
        <f>'пр. 10 2020г'!G297</f>
        <v>32562.746889999999</v>
      </c>
      <c r="H138" s="145"/>
      <c r="I138" s="145">
        <v>0</v>
      </c>
      <c r="J138" s="218">
        <f t="shared" si="42"/>
        <v>32562.746889999999</v>
      </c>
    </row>
    <row r="139" spans="1:12">
      <c r="A139" s="135" t="s">
        <v>348</v>
      </c>
      <c r="B139" s="129" t="s">
        <v>937</v>
      </c>
      <c r="C139" s="129" t="s">
        <v>421</v>
      </c>
      <c r="D139" s="129" t="s">
        <v>117</v>
      </c>
      <c r="E139" s="129" t="s">
        <v>217</v>
      </c>
      <c r="F139" s="129" t="s">
        <v>215</v>
      </c>
      <c r="G139" s="145">
        <f>'пр. 10 2020г'!G298</f>
        <v>12918.161</v>
      </c>
      <c r="H139" s="145"/>
      <c r="I139" s="145">
        <v>0</v>
      </c>
      <c r="J139" s="218">
        <f t="shared" si="42"/>
        <v>12918.161</v>
      </c>
    </row>
    <row r="140" spans="1:12" ht="26.25" customHeight="1">
      <c r="A140" s="137" t="s">
        <v>356</v>
      </c>
      <c r="B140" s="130" t="s">
        <v>938</v>
      </c>
      <c r="C140" s="351"/>
      <c r="D140" s="129" t="s">
        <v>117</v>
      </c>
      <c r="E140" s="129" t="s">
        <v>217</v>
      </c>
      <c r="F140" s="129" t="s">
        <v>215</v>
      </c>
      <c r="G140" s="145">
        <f>G141+G142</f>
        <v>65956.17</v>
      </c>
      <c r="H140" s="145">
        <f t="shared" ref="H140:I140" si="43">H141+H142</f>
        <v>0</v>
      </c>
      <c r="I140" s="145">
        <f t="shared" si="43"/>
        <v>65956.17</v>
      </c>
      <c r="J140" s="218">
        <f t="shared" si="42"/>
        <v>0</v>
      </c>
      <c r="K140" s="217"/>
    </row>
    <row r="141" spans="1:12">
      <c r="A141" s="136" t="s">
        <v>271</v>
      </c>
      <c r="B141" s="130" t="s">
        <v>938</v>
      </c>
      <c r="C141" s="129" t="s">
        <v>268</v>
      </c>
      <c r="D141" s="129" t="s">
        <v>117</v>
      </c>
      <c r="E141" s="129" t="s">
        <v>217</v>
      </c>
      <c r="F141" s="129" t="s">
        <v>215</v>
      </c>
      <c r="G141" s="145">
        <f>'пр. 10 2020г'!G300</f>
        <v>39042.199999999997</v>
      </c>
      <c r="H141" s="145"/>
      <c r="I141" s="145">
        <f>G141</f>
        <v>39042.199999999997</v>
      </c>
      <c r="J141" s="218">
        <f t="shared" si="42"/>
        <v>0</v>
      </c>
      <c r="K141" s="151"/>
    </row>
    <row r="142" spans="1:12">
      <c r="A142" s="136" t="s">
        <v>350</v>
      </c>
      <c r="B142" s="130" t="s">
        <v>938</v>
      </c>
      <c r="C142" s="129" t="s">
        <v>351</v>
      </c>
      <c r="D142" s="129" t="s">
        <v>117</v>
      </c>
      <c r="E142" s="129" t="s">
        <v>217</v>
      </c>
      <c r="F142" s="129" t="s">
        <v>215</v>
      </c>
      <c r="G142" s="145">
        <f>'пр. 10 2020г'!G301</f>
        <v>26913.97</v>
      </c>
      <c r="H142" s="145"/>
      <c r="I142" s="145">
        <f>'пр. 10 2020г'!H301</f>
        <v>26913.97</v>
      </c>
      <c r="J142" s="218">
        <f t="shared" si="42"/>
        <v>0</v>
      </c>
      <c r="K142" s="151"/>
    </row>
    <row r="143" spans="1:12" ht="76.5">
      <c r="A143" s="642" t="s">
        <v>918</v>
      </c>
      <c r="B143" s="129" t="s">
        <v>1186</v>
      </c>
      <c r="C143" s="351"/>
      <c r="D143" s="129" t="s">
        <v>117</v>
      </c>
      <c r="E143" s="129" t="s">
        <v>217</v>
      </c>
      <c r="F143" s="129" t="s">
        <v>215</v>
      </c>
      <c r="G143" s="145">
        <f>G144+G145</f>
        <v>6033.5129900000002</v>
      </c>
      <c r="H143" s="145">
        <f t="shared" ref="H143:I143" si="44">H144+H145</f>
        <v>0</v>
      </c>
      <c r="I143" s="145">
        <f t="shared" si="44"/>
        <v>6033.5129900000002</v>
      </c>
      <c r="J143" s="218"/>
      <c r="K143" s="151"/>
    </row>
    <row r="144" spans="1:12">
      <c r="A144" s="136" t="s">
        <v>271</v>
      </c>
      <c r="B144" s="129" t="s">
        <v>1186</v>
      </c>
      <c r="C144" s="129" t="s">
        <v>268</v>
      </c>
      <c r="D144" s="129" t="s">
        <v>117</v>
      </c>
      <c r="E144" s="129" t="s">
        <v>217</v>
      </c>
      <c r="F144" s="129" t="s">
        <v>215</v>
      </c>
      <c r="G144" s="145">
        <f>'пр. 10 2020г'!G303</f>
        <v>4529.6937200000002</v>
      </c>
      <c r="H144" s="145"/>
      <c r="I144" s="145">
        <f>G144</f>
        <v>4529.6937200000002</v>
      </c>
      <c r="J144" s="218"/>
      <c r="K144" s="151"/>
    </row>
    <row r="145" spans="1:11">
      <c r="A145" s="136" t="s">
        <v>350</v>
      </c>
      <c r="B145" s="129" t="s">
        <v>1186</v>
      </c>
      <c r="C145" s="129" t="s">
        <v>351</v>
      </c>
      <c r="D145" s="129" t="s">
        <v>117</v>
      </c>
      <c r="E145" s="129" t="s">
        <v>217</v>
      </c>
      <c r="F145" s="129" t="s">
        <v>215</v>
      </c>
      <c r="G145" s="145">
        <f>'пр. 10 2020г'!G304</f>
        <v>1503.81927</v>
      </c>
      <c r="H145" s="145"/>
      <c r="I145" s="145">
        <f>G145</f>
        <v>1503.81927</v>
      </c>
      <c r="J145" s="218"/>
      <c r="K145" s="151"/>
    </row>
    <row r="146" spans="1:11" ht="38.25">
      <c r="A146" s="135" t="s">
        <v>880</v>
      </c>
      <c r="B146" s="129" t="s">
        <v>887</v>
      </c>
      <c r="C146" s="121"/>
      <c r="D146" s="129" t="s">
        <v>117</v>
      </c>
      <c r="E146" s="129" t="s">
        <v>217</v>
      </c>
      <c r="F146" s="129" t="s">
        <v>215</v>
      </c>
      <c r="G146" s="145">
        <f>G147</f>
        <v>93040.3</v>
      </c>
      <c r="H146" s="145"/>
      <c r="I146" s="145">
        <f>I147</f>
        <v>93040.3</v>
      </c>
      <c r="J146" s="218"/>
      <c r="K146" s="151"/>
    </row>
    <row r="147" spans="1:11">
      <c r="A147" s="136" t="s">
        <v>271</v>
      </c>
      <c r="B147" s="129" t="s">
        <v>887</v>
      </c>
      <c r="C147" s="121" t="s">
        <v>268</v>
      </c>
      <c r="D147" s="129" t="s">
        <v>117</v>
      </c>
      <c r="E147" s="129" t="s">
        <v>217</v>
      </c>
      <c r="F147" s="129" t="s">
        <v>215</v>
      </c>
      <c r="G147" s="145">
        <f>'пр. 10 2020г'!G306</f>
        <v>93040.3</v>
      </c>
      <c r="H147" s="145"/>
      <c r="I147" s="145">
        <f>G147</f>
        <v>93040.3</v>
      </c>
      <c r="J147" s="218"/>
      <c r="K147" s="151"/>
    </row>
    <row r="148" spans="1:11" ht="75.75" customHeight="1">
      <c r="A148" s="45" t="s">
        <v>809</v>
      </c>
      <c r="B148" s="129" t="s">
        <v>1025</v>
      </c>
      <c r="C148" s="129"/>
      <c r="D148" s="129" t="s">
        <v>117</v>
      </c>
      <c r="E148" s="129" t="s">
        <v>220</v>
      </c>
      <c r="F148" s="129" t="s">
        <v>218</v>
      </c>
      <c r="G148" s="145">
        <f>G149</f>
        <v>3350</v>
      </c>
      <c r="H148" s="145"/>
      <c r="I148" s="145">
        <f>I149</f>
        <v>3350</v>
      </c>
      <c r="J148" s="218">
        <f>G148-I148</f>
        <v>0</v>
      </c>
      <c r="K148" s="151"/>
    </row>
    <row r="149" spans="1:11">
      <c r="A149" s="136" t="s">
        <v>271</v>
      </c>
      <c r="B149" s="129" t="s">
        <v>1025</v>
      </c>
      <c r="C149" s="129" t="s">
        <v>268</v>
      </c>
      <c r="D149" s="129" t="s">
        <v>117</v>
      </c>
      <c r="E149" s="129" t="s">
        <v>220</v>
      </c>
      <c r="F149" s="129" t="s">
        <v>218</v>
      </c>
      <c r="G149" s="145">
        <f>'пр. 10 2020г'!G437</f>
        <v>3350</v>
      </c>
      <c r="H149" s="145"/>
      <c r="I149" s="145">
        <f>G149</f>
        <v>3350</v>
      </c>
      <c r="J149" s="218">
        <f>G149-I149</f>
        <v>0</v>
      </c>
      <c r="K149" s="151"/>
    </row>
    <row r="150" spans="1:11" ht="25.5">
      <c r="A150" s="356" t="s">
        <v>459</v>
      </c>
      <c r="B150" s="706" t="s">
        <v>1028</v>
      </c>
      <c r="C150" s="357"/>
      <c r="D150" s="354" t="s">
        <v>117</v>
      </c>
      <c r="E150" s="354" t="s">
        <v>217</v>
      </c>
      <c r="F150" s="354" t="s">
        <v>216</v>
      </c>
      <c r="G150" s="355">
        <f>G151</f>
        <v>499224.46585000004</v>
      </c>
      <c r="H150" s="355">
        <f t="shared" ref="H150:I150" si="45">H151</f>
        <v>0</v>
      </c>
      <c r="I150" s="355">
        <f t="shared" si="45"/>
        <v>436367.73120000004</v>
      </c>
      <c r="J150" s="651">
        <f>'пр. 10 2020г'!G314</f>
        <v>499224.46585000004</v>
      </c>
      <c r="K150" s="217">
        <f>G150-J150</f>
        <v>0</v>
      </c>
    </row>
    <row r="151" spans="1:11" ht="58.5" customHeight="1">
      <c r="A151" s="356" t="s">
        <v>939</v>
      </c>
      <c r="B151" s="706" t="s">
        <v>1027</v>
      </c>
      <c r="C151" s="357"/>
      <c r="D151" s="354"/>
      <c r="E151" s="354"/>
      <c r="F151" s="354"/>
      <c r="G151" s="355">
        <f>G152+G154+G156+G158+G164+G166+G168+G170+G172+G174+G176+G184+G160+G162+G180+G182+G178</f>
        <v>499224.46585000004</v>
      </c>
      <c r="H151" s="355">
        <f t="shared" ref="H151:I151" si="46">H152+H154+H156+H158+H164+H166+H168+H170+H172+H174+H176+H184+H160+H162+H180+H182+H178</f>
        <v>0</v>
      </c>
      <c r="I151" s="355">
        <f t="shared" si="46"/>
        <v>436367.73120000004</v>
      </c>
      <c r="J151" s="651">
        <f>'пр. 10 2020г'!H315</f>
        <v>436367.73119999998</v>
      </c>
      <c r="K151" s="151"/>
    </row>
    <row r="152" spans="1:11" ht="26.25" customHeight="1">
      <c r="A152" s="68" t="s">
        <v>395</v>
      </c>
      <c r="B152" s="129" t="s">
        <v>1026</v>
      </c>
      <c r="C152" s="129"/>
      <c r="D152" s="129" t="s">
        <v>117</v>
      </c>
      <c r="E152" s="129" t="s">
        <v>217</v>
      </c>
      <c r="F152" s="129" t="s">
        <v>216</v>
      </c>
      <c r="G152" s="145">
        <f>G153</f>
        <v>49204.949690000016</v>
      </c>
      <c r="H152" s="145"/>
      <c r="I152" s="145">
        <f>I153</f>
        <v>0</v>
      </c>
      <c r="J152" s="218">
        <v>6</v>
      </c>
      <c r="K152" s="151"/>
    </row>
    <row r="153" spans="1:11" ht="26.25" customHeight="1">
      <c r="A153" s="135" t="s">
        <v>269</v>
      </c>
      <c r="B153" s="129" t="s">
        <v>1026</v>
      </c>
      <c r="C153" s="129" t="s">
        <v>420</v>
      </c>
      <c r="D153" s="129" t="s">
        <v>117</v>
      </c>
      <c r="E153" s="129" t="s">
        <v>217</v>
      </c>
      <c r="F153" s="129" t="s">
        <v>216</v>
      </c>
      <c r="G153" s="145">
        <f>'пр. 10 2020г'!G320</f>
        <v>49204.949690000016</v>
      </c>
      <c r="H153" s="145"/>
      <c r="I153" s="145">
        <v>0</v>
      </c>
      <c r="J153" s="218">
        <f t="shared" ref="J153:J169" si="47">G153-I153</f>
        <v>49204.949690000016</v>
      </c>
      <c r="K153" s="151"/>
    </row>
    <row r="154" spans="1:11" ht="51">
      <c r="A154" s="137" t="s">
        <v>347</v>
      </c>
      <c r="B154" s="129" t="s">
        <v>1029</v>
      </c>
      <c r="C154" s="129"/>
      <c r="D154" s="129" t="s">
        <v>117</v>
      </c>
      <c r="E154" s="129" t="s">
        <v>217</v>
      </c>
      <c r="F154" s="129" t="s">
        <v>216</v>
      </c>
      <c r="G154" s="145">
        <f>G155</f>
        <v>238937.4</v>
      </c>
      <c r="H154" s="145"/>
      <c r="I154" s="145">
        <f>I155</f>
        <v>238937.4</v>
      </c>
      <c r="J154" s="218">
        <f t="shared" si="47"/>
        <v>0</v>
      </c>
    </row>
    <row r="155" spans="1:11">
      <c r="A155" s="136" t="s">
        <v>271</v>
      </c>
      <c r="B155" s="129" t="s">
        <v>1029</v>
      </c>
      <c r="C155" s="129" t="s">
        <v>268</v>
      </c>
      <c r="D155" s="129" t="s">
        <v>117</v>
      </c>
      <c r="E155" s="129" t="s">
        <v>217</v>
      </c>
      <c r="F155" s="129" t="s">
        <v>216</v>
      </c>
      <c r="G155" s="145">
        <f>'пр. 10 2020г'!G328</f>
        <v>238937.4</v>
      </c>
      <c r="H155" s="145"/>
      <c r="I155" s="145">
        <f>G155</f>
        <v>238937.4</v>
      </c>
      <c r="J155" s="218">
        <f t="shared" si="47"/>
        <v>0</v>
      </c>
    </row>
    <row r="156" spans="1:11" ht="25.5">
      <c r="A156" s="68" t="s">
        <v>356</v>
      </c>
      <c r="B156" s="121" t="s">
        <v>1030</v>
      </c>
      <c r="C156" s="129"/>
      <c r="D156" s="129" t="s">
        <v>117</v>
      </c>
      <c r="E156" s="129" t="s">
        <v>217</v>
      </c>
      <c r="F156" s="129" t="s">
        <v>216</v>
      </c>
      <c r="G156" s="145">
        <f>G157</f>
        <v>8241.33</v>
      </c>
      <c r="H156" s="145"/>
      <c r="I156" s="145">
        <f>I157</f>
        <v>8241.33</v>
      </c>
      <c r="J156" s="218">
        <f t="shared" si="47"/>
        <v>0</v>
      </c>
    </row>
    <row r="157" spans="1:11">
      <c r="A157" s="136" t="s">
        <v>271</v>
      </c>
      <c r="B157" s="121" t="s">
        <v>1030</v>
      </c>
      <c r="C157" s="129" t="s">
        <v>268</v>
      </c>
      <c r="D157" s="129" t="s">
        <v>117</v>
      </c>
      <c r="E157" s="129" t="s">
        <v>217</v>
      </c>
      <c r="F157" s="129" t="s">
        <v>216</v>
      </c>
      <c r="G157" s="145">
        <f>'пр. 10 2020г'!G326</f>
        <v>8241.33</v>
      </c>
      <c r="H157" s="145"/>
      <c r="I157" s="145">
        <f>G157</f>
        <v>8241.33</v>
      </c>
      <c r="J157" s="218">
        <f t="shared" si="47"/>
        <v>0</v>
      </c>
    </row>
    <row r="158" spans="1:11" ht="25.5">
      <c r="A158" s="137" t="s">
        <v>242</v>
      </c>
      <c r="B158" s="129" t="s">
        <v>1031</v>
      </c>
      <c r="C158" s="129"/>
      <c r="D158" s="129" t="s">
        <v>117</v>
      </c>
      <c r="E158" s="129" t="s">
        <v>217</v>
      </c>
      <c r="F158" s="129" t="s">
        <v>216</v>
      </c>
      <c r="G158" s="145">
        <f>G159</f>
        <v>5582.4</v>
      </c>
      <c r="H158" s="145"/>
      <c r="I158" s="145">
        <f>I159</f>
        <v>5582.4</v>
      </c>
      <c r="J158" s="218">
        <f t="shared" si="47"/>
        <v>0</v>
      </c>
    </row>
    <row r="159" spans="1:11">
      <c r="A159" s="136" t="s">
        <v>271</v>
      </c>
      <c r="B159" s="129" t="s">
        <v>1031</v>
      </c>
      <c r="C159" s="129" t="s">
        <v>268</v>
      </c>
      <c r="D159" s="129" t="s">
        <v>117</v>
      </c>
      <c r="E159" s="129" t="s">
        <v>217</v>
      </c>
      <c r="F159" s="129" t="s">
        <v>216</v>
      </c>
      <c r="G159" s="145">
        <f>'пр. 10 2020г'!G330</f>
        <v>5582.4</v>
      </c>
      <c r="H159" s="145"/>
      <c r="I159" s="145">
        <f>G159</f>
        <v>5582.4</v>
      </c>
      <c r="J159" s="218">
        <f t="shared" si="47"/>
        <v>0</v>
      </c>
    </row>
    <row r="160" spans="1:11" ht="76.5">
      <c r="A160" s="642" t="s">
        <v>918</v>
      </c>
      <c r="B160" s="129" t="s">
        <v>1172</v>
      </c>
      <c r="C160" s="129"/>
      <c r="D160" s="129" t="s">
        <v>117</v>
      </c>
      <c r="E160" s="129" t="s">
        <v>217</v>
      </c>
      <c r="F160" s="129" t="s">
        <v>216</v>
      </c>
      <c r="G160" s="145">
        <f>G161</f>
        <v>21363.701200000003</v>
      </c>
      <c r="H160" s="145"/>
      <c r="I160" s="145">
        <f>I161</f>
        <v>21363.701200000003</v>
      </c>
      <c r="J160" s="218"/>
    </row>
    <row r="161" spans="1:10">
      <c r="A161" s="135" t="s">
        <v>271</v>
      </c>
      <c r="B161" s="129" t="s">
        <v>1172</v>
      </c>
      <c r="C161" s="129" t="s">
        <v>268</v>
      </c>
      <c r="D161" s="129" t="s">
        <v>117</v>
      </c>
      <c r="E161" s="129" t="s">
        <v>217</v>
      </c>
      <c r="F161" s="129" t="s">
        <v>216</v>
      </c>
      <c r="G161" s="145">
        <f>'пр. 10 2020г'!G322</f>
        <v>21363.701200000003</v>
      </c>
      <c r="H161" s="145"/>
      <c r="I161" s="145">
        <f>G161</f>
        <v>21363.701200000003</v>
      </c>
      <c r="J161" s="218"/>
    </row>
    <row r="162" spans="1:10" ht="89.25">
      <c r="A162" s="642" t="s">
        <v>919</v>
      </c>
      <c r="B162" s="129" t="s">
        <v>1172</v>
      </c>
      <c r="C162" s="129"/>
      <c r="D162" s="129" t="s">
        <v>117</v>
      </c>
      <c r="E162" s="129" t="s">
        <v>217</v>
      </c>
      <c r="F162" s="129" t="s">
        <v>216</v>
      </c>
      <c r="G162" s="145">
        <f>G163</f>
        <v>344.89796000000001</v>
      </c>
      <c r="H162" s="145"/>
      <c r="I162" s="145">
        <v>0</v>
      </c>
      <c r="J162" s="218"/>
    </row>
    <row r="163" spans="1:10">
      <c r="A163" s="135" t="s">
        <v>271</v>
      </c>
      <c r="B163" s="129" t="s">
        <v>1172</v>
      </c>
      <c r="C163" s="129" t="s">
        <v>268</v>
      </c>
      <c r="D163" s="129" t="s">
        <v>117</v>
      </c>
      <c r="E163" s="129" t="s">
        <v>217</v>
      </c>
      <c r="F163" s="129" t="s">
        <v>216</v>
      </c>
      <c r="G163" s="145">
        <f>'пр. 10 2020г'!G324</f>
        <v>344.89796000000001</v>
      </c>
      <c r="H163" s="145"/>
      <c r="I163" s="145">
        <v>0</v>
      </c>
      <c r="J163" s="218"/>
    </row>
    <row r="164" spans="1:10" ht="51" hidden="1">
      <c r="A164" s="136" t="s">
        <v>741</v>
      </c>
      <c r="B164" s="121" t="s">
        <v>1032</v>
      </c>
      <c r="C164" s="129"/>
      <c r="D164" s="129" t="s">
        <v>117</v>
      </c>
      <c r="E164" s="129" t="s">
        <v>217</v>
      </c>
      <c r="F164" s="129" t="s">
        <v>216</v>
      </c>
      <c r="G164" s="145">
        <f>G165</f>
        <v>0</v>
      </c>
      <c r="H164" s="145"/>
      <c r="I164" s="145">
        <f>I165</f>
        <v>0</v>
      </c>
      <c r="J164" s="218">
        <f t="shared" si="47"/>
        <v>0</v>
      </c>
    </row>
    <row r="165" spans="1:10" hidden="1">
      <c r="A165" s="136" t="s">
        <v>271</v>
      </c>
      <c r="B165" s="121" t="s">
        <v>1032</v>
      </c>
      <c r="C165" s="129" t="s">
        <v>268</v>
      </c>
      <c r="D165" s="129" t="s">
        <v>117</v>
      </c>
      <c r="E165" s="129" t="s">
        <v>217</v>
      </c>
      <c r="F165" s="129" t="s">
        <v>216</v>
      </c>
      <c r="G165" s="145">
        <f>'пр. 10 2020г'!G317</f>
        <v>0</v>
      </c>
      <c r="H165" s="145"/>
      <c r="I165" s="145">
        <f>G165</f>
        <v>0</v>
      </c>
      <c r="J165" s="218">
        <f t="shared" si="47"/>
        <v>0</v>
      </c>
    </row>
    <row r="166" spans="1:10" ht="63.75" hidden="1">
      <c r="A166" s="136" t="s">
        <v>742</v>
      </c>
      <c r="B166" s="121" t="s">
        <v>1032</v>
      </c>
      <c r="C166" s="129"/>
      <c r="D166" s="129" t="s">
        <v>117</v>
      </c>
      <c r="E166" s="129" t="s">
        <v>217</v>
      </c>
      <c r="F166" s="129" t="s">
        <v>216</v>
      </c>
      <c r="G166" s="145">
        <f>G167</f>
        <v>0</v>
      </c>
      <c r="H166" s="145"/>
      <c r="I166" s="145">
        <f>I167</f>
        <v>0</v>
      </c>
      <c r="J166" s="218">
        <f t="shared" si="47"/>
        <v>0</v>
      </c>
    </row>
    <row r="167" spans="1:10" hidden="1">
      <c r="A167" s="136" t="s">
        <v>271</v>
      </c>
      <c r="B167" s="121" t="s">
        <v>1032</v>
      </c>
      <c r="C167" s="129" t="s">
        <v>268</v>
      </c>
      <c r="D167" s="129" t="s">
        <v>117</v>
      </c>
      <c r="E167" s="129" t="s">
        <v>217</v>
      </c>
      <c r="F167" s="129" t="s">
        <v>216</v>
      </c>
      <c r="G167" s="145">
        <f>'пр. 10 2020г'!G319</f>
        <v>0</v>
      </c>
      <c r="H167" s="145"/>
      <c r="I167" s="145">
        <v>0</v>
      </c>
      <c r="J167" s="218">
        <f t="shared" si="47"/>
        <v>0</v>
      </c>
    </row>
    <row r="168" spans="1:10" ht="51">
      <c r="A168" s="135" t="s">
        <v>806</v>
      </c>
      <c r="B168" s="121" t="s">
        <v>1033</v>
      </c>
      <c r="C168" s="129"/>
      <c r="D168" s="129" t="s">
        <v>117</v>
      </c>
      <c r="E168" s="129" t="s">
        <v>217</v>
      </c>
      <c r="F168" s="129" t="s">
        <v>216</v>
      </c>
      <c r="G168" s="145">
        <f>G169</f>
        <v>86243.3</v>
      </c>
      <c r="H168" s="145"/>
      <c r="I168" s="145">
        <f>I169</f>
        <v>86243.3</v>
      </c>
      <c r="J168" s="218">
        <f t="shared" si="47"/>
        <v>0</v>
      </c>
    </row>
    <row r="169" spans="1:10">
      <c r="A169" s="136" t="s">
        <v>271</v>
      </c>
      <c r="B169" s="121" t="s">
        <v>1033</v>
      </c>
      <c r="C169" s="129" t="s">
        <v>268</v>
      </c>
      <c r="D169" s="129" t="s">
        <v>117</v>
      </c>
      <c r="E169" s="129" t="s">
        <v>217</v>
      </c>
      <c r="F169" s="129" t="s">
        <v>216</v>
      </c>
      <c r="G169" s="145">
        <f>'пр. 10 2020г'!G338</f>
        <v>86243.3</v>
      </c>
      <c r="H169" s="145"/>
      <c r="I169" s="145">
        <f>G169</f>
        <v>86243.3</v>
      </c>
      <c r="J169" s="218">
        <f t="shared" si="47"/>
        <v>0</v>
      </c>
    </row>
    <row r="170" spans="1:10" ht="63.75">
      <c r="A170" s="135" t="s">
        <v>812</v>
      </c>
      <c r="B170" s="121" t="s">
        <v>1033</v>
      </c>
      <c r="C170" s="129"/>
      <c r="D170" s="129" t="s">
        <v>117</v>
      </c>
      <c r="E170" s="129" t="s">
        <v>217</v>
      </c>
      <c r="F170" s="129" t="s">
        <v>216</v>
      </c>
      <c r="G170" s="145">
        <f>G171</f>
        <v>1777.11428</v>
      </c>
      <c r="H170" s="145"/>
      <c r="I170" s="145">
        <f>I171</f>
        <v>0</v>
      </c>
      <c r="J170" s="218"/>
    </row>
    <row r="171" spans="1:10">
      <c r="A171" s="136" t="s">
        <v>271</v>
      </c>
      <c r="B171" s="121" t="s">
        <v>1033</v>
      </c>
      <c r="C171" s="129" t="s">
        <v>268</v>
      </c>
      <c r="D171" s="129" t="s">
        <v>117</v>
      </c>
      <c r="E171" s="129" t="s">
        <v>217</v>
      </c>
      <c r="F171" s="129" t="s">
        <v>216</v>
      </c>
      <c r="G171" s="145">
        <f>'пр. 10 2020г'!G340</f>
        <v>1777.11428</v>
      </c>
      <c r="H171" s="145"/>
      <c r="I171" s="145">
        <v>0</v>
      </c>
      <c r="J171" s="218"/>
    </row>
    <row r="172" spans="1:10" ht="51">
      <c r="A172" s="135" t="s">
        <v>874</v>
      </c>
      <c r="B172" s="121" t="s">
        <v>1034</v>
      </c>
      <c r="C172" s="351"/>
      <c r="D172" s="129" t="s">
        <v>117</v>
      </c>
      <c r="E172" s="129" t="s">
        <v>217</v>
      </c>
      <c r="F172" s="129" t="s">
        <v>216</v>
      </c>
      <c r="G172" s="145">
        <f>G173</f>
        <v>887.39999999999986</v>
      </c>
      <c r="H172" s="145"/>
      <c r="I172" s="145">
        <f>I173</f>
        <v>887.39999999999986</v>
      </c>
      <c r="J172" s="218"/>
    </row>
    <row r="173" spans="1:10">
      <c r="A173" s="136" t="s">
        <v>271</v>
      </c>
      <c r="B173" s="121" t="s">
        <v>1034</v>
      </c>
      <c r="C173" s="129" t="s">
        <v>268</v>
      </c>
      <c r="D173" s="129" t="s">
        <v>117</v>
      </c>
      <c r="E173" s="129" t="s">
        <v>217</v>
      </c>
      <c r="F173" s="129" t="s">
        <v>216</v>
      </c>
      <c r="G173" s="145">
        <f>'пр. 10 2020г'!G332</f>
        <v>887.39999999999986</v>
      </c>
      <c r="H173" s="145"/>
      <c r="I173" s="145">
        <f>G173</f>
        <v>887.39999999999986</v>
      </c>
      <c r="J173" s="218"/>
    </row>
    <row r="174" spans="1:10" ht="63.75">
      <c r="A174" s="135" t="s">
        <v>875</v>
      </c>
      <c r="B174" s="129" t="s">
        <v>1035</v>
      </c>
      <c r="C174" s="351"/>
      <c r="D174" s="129" t="s">
        <v>117</v>
      </c>
      <c r="E174" s="129" t="s">
        <v>217</v>
      </c>
      <c r="F174" s="129" t="s">
        <v>216</v>
      </c>
      <c r="G174" s="145">
        <f>G175</f>
        <v>11247.8</v>
      </c>
      <c r="H174" s="145"/>
      <c r="I174" s="145">
        <f>I175</f>
        <v>11247.8</v>
      </c>
      <c r="J174" s="218"/>
    </row>
    <row r="175" spans="1:10">
      <c r="A175" s="136" t="s">
        <v>271</v>
      </c>
      <c r="B175" s="129" t="s">
        <v>1035</v>
      </c>
      <c r="C175" s="129" t="s">
        <v>268</v>
      </c>
      <c r="D175" s="129" t="s">
        <v>117</v>
      </c>
      <c r="E175" s="129" t="s">
        <v>217</v>
      </c>
      <c r="F175" s="129" t="s">
        <v>216</v>
      </c>
      <c r="G175" s="145">
        <f>'пр. 10 2020г'!G334</f>
        <v>11247.8</v>
      </c>
      <c r="H175" s="145"/>
      <c r="I175" s="145">
        <f>G175</f>
        <v>11247.8</v>
      </c>
      <c r="J175" s="218"/>
    </row>
    <row r="176" spans="1:10" ht="63.75">
      <c r="A176" s="135" t="s">
        <v>876</v>
      </c>
      <c r="B176" s="129" t="s">
        <v>1035</v>
      </c>
      <c r="C176" s="351"/>
      <c r="D176" s="129" t="s">
        <v>117</v>
      </c>
      <c r="E176" s="129" t="s">
        <v>217</v>
      </c>
      <c r="F176" s="129" t="s">
        <v>216</v>
      </c>
      <c r="G176" s="145">
        <f>G177</f>
        <v>11247.8</v>
      </c>
      <c r="H176" s="145"/>
      <c r="I176" s="145">
        <f>I177</f>
        <v>0</v>
      </c>
      <c r="J176" s="218"/>
    </row>
    <row r="177" spans="1:11">
      <c r="A177" s="136" t="s">
        <v>271</v>
      </c>
      <c r="B177" s="129" t="s">
        <v>1035</v>
      </c>
      <c r="C177" s="129" t="s">
        <v>268</v>
      </c>
      <c r="D177" s="129" t="s">
        <v>117</v>
      </c>
      <c r="E177" s="129" t="s">
        <v>217</v>
      </c>
      <c r="F177" s="129" t="s">
        <v>216</v>
      </c>
      <c r="G177" s="145">
        <f>'пр. 10 2020г'!G336</f>
        <v>11247.8</v>
      </c>
      <c r="H177" s="145"/>
      <c r="I177" s="145">
        <v>0</v>
      </c>
      <c r="J177" s="218"/>
    </row>
    <row r="178" spans="1:11" ht="89.25">
      <c r="A178" s="135" t="s">
        <v>1217</v>
      </c>
      <c r="B178" s="121" t="s">
        <v>1218</v>
      </c>
      <c r="C178" s="351"/>
      <c r="D178" s="129" t="s">
        <v>117</v>
      </c>
      <c r="E178" s="129" t="s">
        <v>217</v>
      </c>
      <c r="F178" s="129" t="s">
        <v>216</v>
      </c>
      <c r="G178" s="145">
        <f>G179</f>
        <v>914</v>
      </c>
      <c r="H178" s="145"/>
      <c r="I178" s="145">
        <f>I179</f>
        <v>914</v>
      </c>
      <c r="J178" s="218"/>
    </row>
    <row r="179" spans="1:11">
      <c r="A179" s="135" t="s">
        <v>518</v>
      </c>
      <c r="B179" s="121" t="s">
        <v>1218</v>
      </c>
      <c r="C179" s="129" t="s">
        <v>268</v>
      </c>
      <c r="D179" s="129" t="s">
        <v>117</v>
      </c>
      <c r="E179" s="129" t="s">
        <v>217</v>
      </c>
      <c r="F179" s="129" t="s">
        <v>216</v>
      </c>
      <c r="G179" s="145">
        <f>'пр. 10 2020г'!G342</f>
        <v>914</v>
      </c>
      <c r="H179" s="145"/>
      <c r="I179" s="145">
        <f>G179</f>
        <v>914</v>
      </c>
      <c r="J179" s="218"/>
    </row>
    <row r="180" spans="1:11" ht="51">
      <c r="A180" s="135" t="s">
        <v>1223</v>
      </c>
      <c r="B180" s="121" t="s">
        <v>1225</v>
      </c>
      <c r="C180" s="351"/>
      <c r="D180" s="129" t="s">
        <v>117</v>
      </c>
      <c r="E180" s="129" t="s">
        <v>217</v>
      </c>
      <c r="F180" s="129" t="s">
        <v>216</v>
      </c>
      <c r="G180" s="145">
        <f>G181</f>
        <v>27915.200000000001</v>
      </c>
      <c r="H180" s="145"/>
      <c r="I180" s="145">
        <f>I181</f>
        <v>27915.200000000001</v>
      </c>
      <c r="J180" s="218"/>
    </row>
    <row r="181" spans="1:11">
      <c r="A181" s="135" t="s">
        <v>518</v>
      </c>
      <c r="B181" s="121" t="s">
        <v>1225</v>
      </c>
      <c r="C181" s="129" t="s">
        <v>268</v>
      </c>
      <c r="D181" s="129" t="s">
        <v>117</v>
      </c>
      <c r="E181" s="129" t="s">
        <v>217</v>
      </c>
      <c r="F181" s="129" t="s">
        <v>216</v>
      </c>
      <c r="G181" s="145">
        <f>'пр. 10 2020г'!G344</f>
        <v>27915.200000000001</v>
      </c>
      <c r="H181" s="145"/>
      <c r="I181" s="145">
        <f>G181</f>
        <v>27915.200000000001</v>
      </c>
      <c r="J181" s="218"/>
    </row>
    <row r="182" spans="1:11" ht="63.75">
      <c r="A182" s="135" t="s">
        <v>1224</v>
      </c>
      <c r="B182" s="121" t="s">
        <v>1225</v>
      </c>
      <c r="C182" s="351"/>
      <c r="D182" s="129" t="s">
        <v>117</v>
      </c>
      <c r="E182" s="129" t="s">
        <v>217</v>
      </c>
      <c r="F182" s="129" t="s">
        <v>216</v>
      </c>
      <c r="G182" s="145">
        <f>G183</f>
        <v>281.97271999999998</v>
      </c>
      <c r="H182" s="145"/>
      <c r="I182" s="145">
        <v>0</v>
      </c>
      <c r="J182" s="218"/>
    </row>
    <row r="183" spans="1:11">
      <c r="A183" s="135" t="s">
        <v>518</v>
      </c>
      <c r="B183" s="121" t="s">
        <v>1225</v>
      </c>
      <c r="C183" s="129" t="s">
        <v>268</v>
      </c>
      <c r="D183" s="129" t="s">
        <v>117</v>
      </c>
      <c r="E183" s="129" t="s">
        <v>217</v>
      </c>
      <c r="F183" s="129" t="s">
        <v>216</v>
      </c>
      <c r="G183" s="145">
        <f>'пр. 10 2020г'!G346</f>
        <v>281.97271999999998</v>
      </c>
      <c r="H183" s="145"/>
      <c r="I183" s="145">
        <v>0</v>
      </c>
      <c r="J183" s="218"/>
    </row>
    <row r="184" spans="1:11" ht="51">
      <c r="A184" s="135" t="s">
        <v>877</v>
      </c>
      <c r="B184" s="129" t="s">
        <v>1036</v>
      </c>
      <c r="C184" s="351"/>
      <c r="D184" s="129" t="s">
        <v>117</v>
      </c>
      <c r="E184" s="129" t="s">
        <v>217</v>
      </c>
      <c r="F184" s="129" t="s">
        <v>216</v>
      </c>
      <c r="G184" s="145">
        <f>G185</f>
        <v>35035.199999999997</v>
      </c>
      <c r="H184" s="145"/>
      <c r="I184" s="145">
        <f>I185</f>
        <v>35035.199999999997</v>
      </c>
      <c r="J184" s="218"/>
    </row>
    <row r="185" spans="1:11">
      <c r="A185" s="136" t="s">
        <v>271</v>
      </c>
      <c r="B185" s="129" t="s">
        <v>1036</v>
      </c>
      <c r="C185" s="129" t="s">
        <v>268</v>
      </c>
      <c r="D185" s="129" t="s">
        <v>117</v>
      </c>
      <c r="E185" s="129" t="s">
        <v>217</v>
      </c>
      <c r="F185" s="129" t="s">
        <v>216</v>
      </c>
      <c r="G185" s="145">
        <f>'пр. 10 2020г'!G348</f>
        <v>35035.199999999997</v>
      </c>
      <c r="H185" s="145"/>
      <c r="I185" s="145">
        <f>G185</f>
        <v>35035.199999999997</v>
      </c>
      <c r="J185" s="218"/>
    </row>
    <row r="186" spans="1:11" ht="51">
      <c r="A186" s="356" t="s">
        <v>460</v>
      </c>
      <c r="B186" s="354" t="s">
        <v>953</v>
      </c>
      <c r="C186" s="357"/>
      <c r="D186" s="354" t="s">
        <v>117</v>
      </c>
      <c r="E186" s="354" t="s">
        <v>1048</v>
      </c>
      <c r="F186" s="354" t="s">
        <v>218</v>
      </c>
      <c r="G186" s="355">
        <f>G187</f>
        <v>36994.241690000003</v>
      </c>
      <c r="H186" s="355">
        <f t="shared" ref="H186:I186" si="48">H187</f>
        <v>0</v>
      </c>
      <c r="I186" s="355">
        <f t="shared" si="48"/>
        <v>27623.295200000004</v>
      </c>
      <c r="J186" s="651">
        <f>'пр. 10 2020г'!H359</f>
        <v>27513.795200000004</v>
      </c>
      <c r="K186" s="647">
        <f>I186-J186</f>
        <v>109.5</v>
      </c>
    </row>
    <row r="187" spans="1:11" ht="42" customHeight="1">
      <c r="A187" s="556" t="s">
        <v>954</v>
      </c>
      <c r="B187" s="688" t="s">
        <v>955</v>
      </c>
      <c r="C187" s="688"/>
      <c r="D187" s="129" t="s">
        <v>117</v>
      </c>
      <c r="E187" s="129" t="s">
        <v>217</v>
      </c>
      <c r="F187" s="129" t="s">
        <v>218</v>
      </c>
      <c r="G187" s="145">
        <f>G188+G190+G192+G194+G196+G200+G202+G198</f>
        <v>36994.241690000003</v>
      </c>
      <c r="H187" s="145">
        <f t="shared" ref="H187:I187" si="49">H188+H190+H192+H194+H196+H200+H202+H198</f>
        <v>0</v>
      </c>
      <c r="I187" s="145">
        <f t="shared" si="49"/>
        <v>27623.295200000004</v>
      </c>
      <c r="J187" s="218">
        <f>G187-I187</f>
        <v>9370.9464899999984</v>
      </c>
    </row>
    <row r="188" spans="1:11" ht="42" customHeight="1">
      <c r="A188" s="333" t="s">
        <v>388</v>
      </c>
      <c r="B188" s="335" t="s">
        <v>1196</v>
      </c>
      <c r="C188" s="688"/>
      <c r="D188" s="129" t="s">
        <v>117</v>
      </c>
      <c r="E188" s="129" t="s">
        <v>217</v>
      </c>
      <c r="F188" s="129" t="s">
        <v>218</v>
      </c>
      <c r="G188" s="145">
        <f>G189</f>
        <v>3117.1419999999998</v>
      </c>
      <c r="H188" s="145"/>
      <c r="I188" s="145">
        <f>I189</f>
        <v>0</v>
      </c>
      <c r="J188" s="218"/>
    </row>
    <row r="189" spans="1:11">
      <c r="A189" s="135" t="s">
        <v>269</v>
      </c>
      <c r="B189" s="335" t="s">
        <v>1037</v>
      </c>
      <c r="C189" s="129" t="s">
        <v>420</v>
      </c>
      <c r="D189" s="129" t="s">
        <v>117</v>
      </c>
      <c r="E189" s="129" t="s">
        <v>217</v>
      </c>
      <c r="F189" s="129" t="s">
        <v>218</v>
      </c>
      <c r="G189" s="145">
        <f>'пр. 10 2020г'!G368</f>
        <v>3117.1419999999998</v>
      </c>
      <c r="H189" s="403"/>
      <c r="I189" s="145">
        <v>0</v>
      </c>
      <c r="J189" s="218">
        <f>G189-I189</f>
        <v>3117.1419999999998</v>
      </c>
    </row>
    <row r="190" spans="1:11" ht="38.25" hidden="1">
      <c r="A190" s="136" t="s">
        <v>797</v>
      </c>
      <c r="B190" s="129" t="s">
        <v>1038</v>
      </c>
      <c r="C190" s="129"/>
      <c r="D190" s="129" t="s">
        <v>117</v>
      </c>
      <c r="E190" s="129" t="s">
        <v>217</v>
      </c>
      <c r="F190" s="129" t="s">
        <v>218</v>
      </c>
      <c r="G190" s="145">
        <f>G191</f>
        <v>0</v>
      </c>
      <c r="H190" s="145">
        <f t="shared" ref="H190:I190" si="50">H191</f>
        <v>0</v>
      </c>
      <c r="I190" s="145">
        <f t="shared" si="50"/>
        <v>0</v>
      </c>
      <c r="J190" s="218">
        <f>G190-I190</f>
        <v>0</v>
      </c>
    </row>
    <row r="191" spans="1:11" hidden="1">
      <c r="A191" s="136" t="s">
        <v>271</v>
      </c>
      <c r="B191" s="129" t="s">
        <v>1038</v>
      </c>
      <c r="C191" s="129" t="s">
        <v>268</v>
      </c>
      <c r="D191" s="129" t="s">
        <v>117</v>
      </c>
      <c r="E191" s="129" t="s">
        <v>217</v>
      </c>
      <c r="F191" s="129" t="s">
        <v>218</v>
      </c>
      <c r="G191" s="145">
        <f>'пр. 10 2020г'!G370</f>
        <v>0</v>
      </c>
      <c r="H191" s="403"/>
      <c r="I191" s="145">
        <f>G191</f>
        <v>0</v>
      </c>
      <c r="J191" s="218">
        <f>G191-I191</f>
        <v>0</v>
      </c>
    </row>
    <row r="192" spans="1:11" ht="51">
      <c r="A192" s="136" t="s">
        <v>818</v>
      </c>
      <c r="B192" s="129" t="s">
        <v>1038</v>
      </c>
      <c r="C192" s="129"/>
      <c r="D192" s="129" t="s">
        <v>117</v>
      </c>
      <c r="E192" s="129" t="s">
        <v>217</v>
      </c>
      <c r="F192" s="129" t="s">
        <v>218</v>
      </c>
      <c r="G192" s="145">
        <f>G193</f>
        <v>12.62449</v>
      </c>
      <c r="H192" s="403"/>
      <c r="I192" s="145">
        <f>I193</f>
        <v>0</v>
      </c>
      <c r="J192" s="218"/>
    </row>
    <row r="193" spans="1:10">
      <c r="A193" s="136" t="s">
        <v>271</v>
      </c>
      <c r="B193" s="129" t="s">
        <v>1038</v>
      </c>
      <c r="C193" s="129" t="s">
        <v>268</v>
      </c>
      <c r="D193" s="129" t="s">
        <v>117</v>
      </c>
      <c r="E193" s="129" t="s">
        <v>217</v>
      </c>
      <c r="F193" s="129" t="s">
        <v>218</v>
      </c>
      <c r="G193" s="145">
        <f>'пр. 10 2020г'!G372</f>
        <v>12.62449</v>
      </c>
      <c r="H193" s="403"/>
      <c r="I193" s="145">
        <v>0</v>
      </c>
      <c r="J193" s="218"/>
    </row>
    <row r="194" spans="1:10" ht="38.25">
      <c r="A194" s="641" t="s">
        <v>187</v>
      </c>
      <c r="B194" s="129" t="s">
        <v>1039</v>
      </c>
      <c r="C194" s="129"/>
      <c r="D194" s="129" t="s">
        <v>117</v>
      </c>
      <c r="E194" s="129" t="s">
        <v>217</v>
      </c>
      <c r="F194" s="129" t="s">
        <v>218</v>
      </c>
      <c r="G194" s="145">
        <f>G195</f>
        <v>9642.8000000000011</v>
      </c>
      <c r="H194" s="403"/>
      <c r="I194" s="145">
        <f>I195</f>
        <v>9642.8000000000011</v>
      </c>
      <c r="J194" s="218">
        <f>G194-I194</f>
        <v>0</v>
      </c>
    </row>
    <row r="195" spans="1:10">
      <c r="A195" s="136" t="s">
        <v>271</v>
      </c>
      <c r="B195" s="129" t="s">
        <v>1039</v>
      </c>
      <c r="C195" s="129" t="s">
        <v>268</v>
      </c>
      <c r="D195" s="129" t="s">
        <v>117</v>
      </c>
      <c r="E195" s="129" t="s">
        <v>217</v>
      </c>
      <c r="F195" s="129" t="s">
        <v>218</v>
      </c>
      <c r="G195" s="145">
        <f>'пр. 10 2020г'!G364</f>
        <v>9642.8000000000011</v>
      </c>
      <c r="H195" s="403"/>
      <c r="I195" s="145">
        <f>G195</f>
        <v>9642.8000000000011</v>
      </c>
      <c r="J195" s="218">
        <f>G195-I195</f>
        <v>0</v>
      </c>
    </row>
    <row r="196" spans="1:10" ht="51">
      <c r="A196" s="641" t="s">
        <v>732</v>
      </c>
      <c r="B196" s="129" t="s">
        <v>1039</v>
      </c>
      <c r="C196" s="129"/>
      <c r="D196" s="129" t="s">
        <v>117</v>
      </c>
      <c r="E196" s="129" t="s">
        <v>217</v>
      </c>
      <c r="F196" s="129" t="s">
        <v>218</v>
      </c>
      <c r="G196" s="145">
        <f>G197</f>
        <v>6241.18</v>
      </c>
      <c r="H196" s="145">
        <f t="shared" ref="H196:I196" si="51">H197</f>
        <v>0</v>
      </c>
      <c r="I196" s="145">
        <f t="shared" si="51"/>
        <v>0</v>
      </c>
      <c r="J196" s="218">
        <f>G196-I196</f>
        <v>6241.18</v>
      </c>
    </row>
    <row r="197" spans="1:10">
      <c r="A197" s="136" t="s">
        <v>271</v>
      </c>
      <c r="B197" s="129" t="s">
        <v>1039</v>
      </c>
      <c r="C197" s="129" t="s">
        <v>268</v>
      </c>
      <c r="D197" s="129" t="s">
        <v>117</v>
      </c>
      <c r="E197" s="129" t="s">
        <v>217</v>
      </c>
      <c r="F197" s="129" t="s">
        <v>218</v>
      </c>
      <c r="G197" s="145">
        <f>'пр. 10 2020г'!G366</f>
        <v>6241.18</v>
      </c>
      <c r="H197" s="403"/>
      <c r="I197" s="145">
        <v>0</v>
      </c>
      <c r="J197" s="218">
        <f>G197-I197</f>
        <v>6241.18</v>
      </c>
    </row>
    <row r="198" spans="1:10" ht="76.5">
      <c r="A198" s="642" t="s">
        <v>918</v>
      </c>
      <c r="B198" s="129" t="s">
        <v>1187</v>
      </c>
      <c r="C198" s="129"/>
      <c r="D198" s="129" t="s">
        <v>117</v>
      </c>
      <c r="E198" s="129" t="s">
        <v>217</v>
      </c>
      <c r="F198" s="129" t="s">
        <v>218</v>
      </c>
      <c r="G198" s="145">
        <f>G199</f>
        <v>370.99520000000001</v>
      </c>
      <c r="H198" s="403"/>
      <c r="I198" s="145">
        <f>I199</f>
        <v>370.99520000000001</v>
      </c>
      <c r="J198" s="218"/>
    </row>
    <row r="199" spans="1:10">
      <c r="A199" s="136" t="s">
        <v>271</v>
      </c>
      <c r="B199" s="129" t="s">
        <v>1187</v>
      </c>
      <c r="C199" s="129" t="s">
        <v>268</v>
      </c>
      <c r="D199" s="129" t="s">
        <v>117</v>
      </c>
      <c r="E199" s="129" t="s">
        <v>217</v>
      </c>
      <c r="F199" s="129" t="s">
        <v>218</v>
      </c>
      <c r="G199" s="145">
        <f>'пр. 10 2020г'!G374</f>
        <v>370.99520000000001</v>
      </c>
      <c r="H199" s="403"/>
      <c r="I199" s="145">
        <f>G199</f>
        <v>370.99520000000001</v>
      </c>
      <c r="J199" s="218"/>
    </row>
    <row r="200" spans="1:10" ht="51">
      <c r="A200" s="136" t="s">
        <v>879</v>
      </c>
      <c r="B200" s="688" t="s">
        <v>888</v>
      </c>
      <c r="C200" s="129"/>
      <c r="D200" s="129" t="s">
        <v>117</v>
      </c>
      <c r="E200" s="129" t="s">
        <v>217</v>
      </c>
      <c r="F200" s="129" t="s">
        <v>218</v>
      </c>
      <c r="G200" s="145">
        <f>G201</f>
        <v>17500</v>
      </c>
      <c r="H200" s="403"/>
      <c r="I200" s="145">
        <f>I201</f>
        <v>17500</v>
      </c>
      <c r="J200" s="218"/>
    </row>
    <row r="201" spans="1:10">
      <c r="A201" s="136" t="s">
        <v>271</v>
      </c>
      <c r="B201" s="688" t="s">
        <v>888</v>
      </c>
      <c r="C201" s="129" t="s">
        <v>268</v>
      </c>
      <c r="D201" s="129" t="s">
        <v>117</v>
      </c>
      <c r="E201" s="129" t="s">
        <v>217</v>
      </c>
      <c r="F201" s="129" t="s">
        <v>218</v>
      </c>
      <c r="G201" s="145">
        <f>'пр. 10 2020г'!G376</f>
        <v>17500</v>
      </c>
      <c r="H201" s="403"/>
      <c r="I201" s="145">
        <f>G201</f>
        <v>17500</v>
      </c>
      <c r="J201" s="218"/>
    </row>
    <row r="202" spans="1:10" ht="229.5">
      <c r="A202" s="45" t="s">
        <v>809</v>
      </c>
      <c r="B202" s="708" t="s">
        <v>1040</v>
      </c>
      <c r="C202" s="129"/>
      <c r="D202" s="129" t="s">
        <v>117</v>
      </c>
      <c r="E202" s="129" t="s">
        <v>220</v>
      </c>
      <c r="F202" s="129" t="s">
        <v>218</v>
      </c>
      <c r="G202" s="145">
        <f>G203</f>
        <v>109.5</v>
      </c>
      <c r="H202" s="403"/>
      <c r="I202" s="145">
        <f>I203</f>
        <v>109.5</v>
      </c>
      <c r="J202" s="218">
        <f t="shared" ref="J202:J206" si="52">G202-I202</f>
        <v>0</v>
      </c>
    </row>
    <row r="203" spans="1:10">
      <c r="A203" s="136" t="s">
        <v>271</v>
      </c>
      <c r="B203" s="708" t="s">
        <v>1040</v>
      </c>
      <c r="C203" s="129" t="s">
        <v>268</v>
      </c>
      <c r="D203" s="129" t="s">
        <v>117</v>
      </c>
      <c r="E203" s="129" t="s">
        <v>220</v>
      </c>
      <c r="F203" s="129" t="s">
        <v>218</v>
      </c>
      <c r="G203" s="145">
        <f>'пр. 10 2020г'!G440</f>
        <v>109.5</v>
      </c>
      <c r="H203" s="403"/>
      <c r="I203" s="145">
        <f>G203</f>
        <v>109.5</v>
      </c>
      <c r="J203" s="218">
        <f t="shared" si="52"/>
        <v>0</v>
      </c>
    </row>
    <row r="204" spans="1:10" ht="28.5" hidden="1" customHeight="1">
      <c r="A204" s="356" t="s">
        <v>454</v>
      </c>
      <c r="B204" s="354" t="s">
        <v>557</v>
      </c>
      <c r="C204" s="354"/>
      <c r="D204" s="354" t="s">
        <v>117</v>
      </c>
      <c r="E204" s="354" t="s">
        <v>217</v>
      </c>
      <c r="F204" s="354" t="s">
        <v>219</v>
      </c>
      <c r="G204" s="355">
        <f>G205</f>
        <v>300</v>
      </c>
      <c r="H204" s="404"/>
      <c r="I204" s="355">
        <f>I205</f>
        <v>0</v>
      </c>
      <c r="J204" s="218">
        <f t="shared" si="52"/>
        <v>300</v>
      </c>
    </row>
    <row r="205" spans="1:10" ht="25.5" hidden="1">
      <c r="A205" s="254" t="s">
        <v>446</v>
      </c>
      <c r="B205" s="129" t="s">
        <v>557</v>
      </c>
      <c r="C205" s="129" t="s">
        <v>163</v>
      </c>
      <c r="D205" s="129" t="s">
        <v>117</v>
      </c>
      <c r="E205" s="129" t="s">
        <v>217</v>
      </c>
      <c r="F205" s="129" t="s">
        <v>219</v>
      </c>
      <c r="G205" s="145">
        <f>G206</f>
        <v>300</v>
      </c>
      <c r="H205" s="403"/>
      <c r="I205" s="145">
        <f>I206</f>
        <v>0</v>
      </c>
      <c r="J205" s="218">
        <f t="shared" si="52"/>
        <v>300</v>
      </c>
    </row>
    <row r="206" spans="1:10" ht="38.25" hidden="1">
      <c r="A206" s="254" t="s">
        <v>263</v>
      </c>
      <c r="B206" s="129" t="s">
        <v>557</v>
      </c>
      <c r="C206" s="129" t="s">
        <v>164</v>
      </c>
      <c r="D206" s="129" t="s">
        <v>117</v>
      </c>
      <c r="E206" s="129" t="s">
        <v>217</v>
      </c>
      <c r="F206" s="129" t="s">
        <v>219</v>
      </c>
      <c r="G206" s="145">
        <f>'пр. 10 2020г'!G398</f>
        <v>300</v>
      </c>
      <c r="H206" s="403"/>
      <c r="I206" s="145">
        <f>0</f>
        <v>0</v>
      </c>
      <c r="J206" s="218">
        <f t="shared" si="52"/>
        <v>300</v>
      </c>
    </row>
    <row r="207" spans="1:10" ht="39.75" customHeight="1">
      <c r="A207" s="356" t="s">
        <v>461</v>
      </c>
      <c r="B207" s="703" t="s">
        <v>959</v>
      </c>
      <c r="C207" s="357"/>
      <c r="D207" s="354" t="s">
        <v>117</v>
      </c>
      <c r="E207" s="354" t="s">
        <v>217</v>
      </c>
      <c r="F207" s="354" t="s">
        <v>217</v>
      </c>
      <c r="G207" s="355">
        <f>G208</f>
        <v>8187.7640199999996</v>
      </c>
      <c r="H207" s="355" t="e">
        <f>#REF!+H210+H214+H216</f>
        <v>#REF!</v>
      </c>
      <c r="I207" s="355">
        <f>I208</f>
        <v>7114.3300200000003</v>
      </c>
      <c r="J207" s="651">
        <f>'пр. 10 2020г'!H377</f>
        <v>7114.3300200000003</v>
      </c>
    </row>
    <row r="208" spans="1:10" ht="39.75" customHeight="1">
      <c r="A208" s="356" t="s">
        <v>952</v>
      </c>
      <c r="B208" s="703" t="s">
        <v>960</v>
      </c>
      <c r="C208" s="357"/>
      <c r="D208" s="354" t="s">
        <v>117</v>
      </c>
      <c r="E208" s="354" t="s">
        <v>217</v>
      </c>
      <c r="F208" s="354" t="s">
        <v>217</v>
      </c>
      <c r="G208" s="355">
        <f>G209+G210+G212+G214+G216+G220</f>
        <v>8187.7640199999996</v>
      </c>
      <c r="H208" s="355" t="e">
        <f t="shared" ref="H208:I208" si="53">H209+H210+H212+H214+H216+H220</f>
        <v>#REF!</v>
      </c>
      <c r="I208" s="355">
        <f t="shared" si="53"/>
        <v>7114.3300200000003</v>
      </c>
      <c r="J208" s="218"/>
    </row>
    <row r="209" spans="1:10" ht="15.75" customHeight="1">
      <c r="A209" s="138" t="s">
        <v>348</v>
      </c>
      <c r="B209" s="335" t="s">
        <v>1041</v>
      </c>
      <c r="C209" s="129" t="s">
        <v>421</v>
      </c>
      <c r="D209" s="129" t="s">
        <v>117</v>
      </c>
      <c r="E209" s="129" t="s">
        <v>217</v>
      </c>
      <c r="F209" s="129" t="s">
        <v>217</v>
      </c>
      <c r="G209" s="145">
        <f>'пр. 10 2020г'!G381</f>
        <v>1058.434</v>
      </c>
      <c r="H209" s="145"/>
      <c r="I209" s="145">
        <v>0</v>
      </c>
      <c r="J209" s="218">
        <f>G209-I209</f>
        <v>1058.434</v>
      </c>
    </row>
    <row r="210" spans="1:10" ht="39" customHeight="1">
      <c r="A210" s="68" t="s">
        <v>188</v>
      </c>
      <c r="B210" s="129" t="s">
        <v>1042</v>
      </c>
      <c r="C210" s="351"/>
      <c r="D210" s="129" t="s">
        <v>117</v>
      </c>
      <c r="E210" s="129" t="s">
        <v>217</v>
      </c>
      <c r="F210" s="129" t="s">
        <v>217</v>
      </c>
      <c r="G210" s="145">
        <f>G211</f>
        <v>3153.9</v>
      </c>
      <c r="H210" s="145">
        <f t="shared" ref="H210:I210" si="54">H211</f>
        <v>0</v>
      </c>
      <c r="I210" s="145">
        <f t="shared" si="54"/>
        <v>3153.9</v>
      </c>
      <c r="J210" s="218">
        <f>G210-I210</f>
        <v>0</v>
      </c>
    </row>
    <row r="211" spans="1:10" ht="48" customHeight="1">
      <c r="A211" s="68" t="s">
        <v>447</v>
      </c>
      <c r="B211" s="129" t="s">
        <v>1042</v>
      </c>
      <c r="C211" s="129" t="s">
        <v>354</v>
      </c>
      <c r="D211" s="129" t="s">
        <v>117</v>
      </c>
      <c r="E211" s="129" t="s">
        <v>217</v>
      </c>
      <c r="F211" s="129" t="s">
        <v>217</v>
      </c>
      <c r="G211" s="145">
        <f>'пр. 10 2020г'!G385</f>
        <v>3153.9</v>
      </c>
      <c r="H211" s="403"/>
      <c r="I211" s="145">
        <f>G211</f>
        <v>3153.9</v>
      </c>
      <c r="J211" s="218">
        <f>G211-I211</f>
        <v>0</v>
      </c>
    </row>
    <row r="212" spans="1:10" ht="114" customHeight="1">
      <c r="A212" s="68" t="s">
        <v>820</v>
      </c>
      <c r="B212" s="129" t="s">
        <v>1042</v>
      </c>
      <c r="C212" s="129"/>
      <c r="D212" s="129" t="s">
        <v>117</v>
      </c>
      <c r="E212" s="129" t="s">
        <v>217</v>
      </c>
      <c r="F212" s="129" t="s">
        <v>217</v>
      </c>
      <c r="G212" s="145">
        <f>G213</f>
        <v>15</v>
      </c>
      <c r="H212" s="403"/>
      <c r="I212" s="145">
        <f>I213</f>
        <v>0</v>
      </c>
      <c r="J212" s="218"/>
    </row>
    <row r="213" spans="1:10" ht="34.5" customHeight="1">
      <c r="A213" s="136" t="s">
        <v>271</v>
      </c>
      <c r="B213" s="129" t="s">
        <v>1042</v>
      </c>
      <c r="C213" s="129" t="s">
        <v>268</v>
      </c>
      <c r="D213" s="129" t="s">
        <v>117</v>
      </c>
      <c r="E213" s="129" t="s">
        <v>217</v>
      </c>
      <c r="F213" s="129" t="s">
        <v>217</v>
      </c>
      <c r="G213" s="145">
        <f>'пр. 10 2020г'!G387</f>
        <v>15</v>
      </c>
      <c r="H213" s="403"/>
      <c r="I213" s="145">
        <v>0</v>
      </c>
      <c r="J213" s="218"/>
    </row>
    <row r="214" spans="1:10" ht="42" customHeight="1">
      <c r="A214" s="68" t="s">
        <v>915</v>
      </c>
      <c r="B214" s="335" t="s">
        <v>1043</v>
      </c>
      <c r="C214" s="351"/>
      <c r="D214" s="129" t="s">
        <v>117</v>
      </c>
      <c r="E214" s="129" t="s">
        <v>217</v>
      </c>
      <c r="F214" s="129" t="s">
        <v>217</v>
      </c>
      <c r="G214" s="145">
        <f>G215</f>
        <v>3714.7</v>
      </c>
      <c r="H214" s="145" t="e">
        <f>#REF!</f>
        <v>#REF!</v>
      </c>
      <c r="I214" s="145">
        <f>I215</f>
        <v>3714.7</v>
      </c>
      <c r="J214" s="218">
        <f t="shared" ref="J214:J237" si="55">G214-I214</f>
        <v>0</v>
      </c>
    </row>
    <row r="215" spans="1:10" ht="38.25">
      <c r="A215" s="68" t="s">
        <v>447</v>
      </c>
      <c r="B215" s="335" t="s">
        <v>1043</v>
      </c>
      <c r="C215" s="129" t="s">
        <v>354</v>
      </c>
      <c r="D215" s="129" t="s">
        <v>117</v>
      </c>
      <c r="E215" s="129" t="s">
        <v>217</v>
      </c>
      <c r="F215" s="129" t="s">
        <v>217</v>
      </c>
      <c r="G215" s="145">
        <f>'пр. 10 2020г'!G389</f>
        <v>3714.7</v>
      </c>
      <c r="H215" s="360"/>
      <c r="I215" s="145">
        <f>G215</f>
        <v>3714.7</v>
      </c>
      <c r="J215" s="218">
        <f t="shared" si="55"/>
        <v>0</v>
      </c>
    </row>
    <row r="216" spans="1:10" ht="53.25" customHeight="1">
      <c r="A216" s="135" t="s">
        <v>916</v>
      </c>
      <c r="B216" s="335" t="s">
        <v>1044</v>
      </c>
      <c r="C216" s="129"/>
      <c r="D216" s="129" t="s">
        <v>117</v>
      </c>
      <c r="E216" s="129" t="s">
        <v>217</v>
      </c>
      <c r="F216" s="129" t="s">
        <v>217</v>
      </c>
      <c r="G216" s="145">
        <f>G217+G218+G219</f>
        <v>55.7</v>
      </c>
      <c r="H216" s="145">
        <f>H217+H219</f>
        <v>0</v>
      </c>
      <c r="I216" s="145">
        <f>G216</f>
        <v>55.7</v>
      </c>
      <c r="J216" s="218">
        <f t="shared" si="55"/>
        <v>0</v>
      </c>
    </row>
    <row r="217" spans="1:10" ht="63.75">
      <c r="A217" s="135" t="s">
        <v>162</v>
      </c>
      <c r="B217" s="335" t="s">
        <v>1044</v>
      </c>
      <c r="C217" s="129" t="s">
        <v>438</v>
      </c>
      <c r="D217" s="129" t="s">
        <v>117</v>
      </c>
      <c r="E217" s="129" t="s">
        <v>217</v>
      </c>
      <c r="F217" s="129" t="s">
        <v>217</v>
      </c>
      <c r="G217" s="145">
        <f>'пр. 10 2020г'!G391</f>
        <v>32.649000000000001</v>
      </c>
      <c r="H217" s="145"/>
      <c r="I217" s="145">
        <f>G217</f>
        <v>32.649000000000001</v>
      </c>
      <c r="J217" s="218">
        <f t="shared" si="55"/>
        <v>0</v>
      </c>
    </row>
    <row r="218" spans="1:10" ht="25.5">
      <c r="A218" s="135" t="s">
        <v>616</v>
      </c>
      <c r="B218" s="335" t="s">
        <v>1044</v>
      </c>
      <c r="C218" s="335">
        <v>119</v>
      </c>
      <c r="D218" s="129" t="s">
        <v>117</v>
      </c>
      <c r="E218" s="129" t="s">
        <v>217</v>
      </c>
      <c r="F218" s="129" t="s">
        <v>217</v>
      </c>
      <c r="G218" s="145">
        <f>'пр. 10 2020г'!G392</f>
        <v>9.8789999999999996</v>
      </c>
      <c r="H218" s="145"/>
      <c r="I218" s="145">
        <f>G218</f>
        <v>9.8789999999999996</v>
      </c>
      <c r="J218" s="218">
        <f t="shared" si="55"/>
        <v>0</v>
      </c>
    </row>
    <row r="219" spans="1:10" ht="45" customHeight="1">
      <c r="A219" s="139" t="s">
        <v>275</v>
      </c>
      <c r="B219" s="335" t="s">
        <v>1044</v>
      </c>
      <c r="C219" s="335">
        <v>240</v>
      </c>
      <c r="D219" s="129" t="s">
        <v>117</v>
      </c>
      <c r="E219" s="129" t="s">
        <v>217</v>
      </c>
      <c r="F219" s="129" t="s">
        <v>217</v>
      </c>
      <c r="G219" s="145">
        <f>'пр. 10 2020г'!G393</f>
        <v>13.172000000000001</v>
      </c>
      <c r="H219" s="145"/>
      <c r="I219" s="145">
        <f>G219</f>
        <v>13.172000000000001</v>
      </c>
      <c r="J219" s="218">
        <f t="shared" si="55"/>
        <v>0</v>
      </c>
    </row>
    <row r="220" spans="1:10" ht="84" customHeight="1">
      <c r="A220" s="642" t="s">
        <v>918</v>
      </c>
      <c r="B220" s="688" t="s">
        <v>1188</v>
      </c>
      <c r="C220" s="335"/>
      <c r="D220" s="129" t="s">
        <v>117</v>
      </c>
      <c r="E220" s="129" t="s">
        <v>217</v>
      </c>
      <c r="F220" s="129" t="s">
        <v>217</v>
      </c>
      <c r="G220" s="145">
        <f>G221</f>
        <v>190.03002000000001</v>
      </c>
      <c r="H220" s="145"/>
      <c r="I220" s="145">
        <f>I221</f>
        <v>190.03002000000001</v>
      </c>
      <c r="J220" s="218">
        <f t="shared" si="55"/>
        <v>0</v>
      </c>
    </row>
    <row r="221" spans="1:10" ht="45" customHeight="1">
      <c r="A221" s="136" t="s">
        <v>350</v>
      </c>
      <c r="B221" s="688" t="s">
        <v>1188</v>
      </c>
      <c r="C221" s="121" t="s">
        <v>351</v>
      </c>
      <c r="D221" s="129" t="s">
        <v>117</v>
      </c>
      <c r="E221" s="129" t="s">
        <v>217</v>
      </c>
      <c r="F221" s="129" t="s">
        <v>217</v>
      </c>
      <c r="G221" s="145">
        <f>'пр. 10 2020г'!G383</f>
        <v>190.03002000000001</v>
      </c>
      <c r="H221" s="145"/>
      <c r="I221" s="145">
        <f>G221</f>
        <v>190.03002000000001</v>
      </c>
      <c r="J221" s="218"/>
    </row>
    <row r="222" spans="1:10" ht="54" customHeight="1">
      <c r="A222" s="803" t="s">
        <v>1173</v>
      </c>
      <c r="B222" s="804" t="s">
        <v>1180</v>
      </c>
      <c r="C222" s="804"/>
      <c r="D222" s="805" t="s">
        <v>117</v>
      </c>
      <c r="E222" s="805" t="s">
        <v>217</v>
      </c>
      <c r="F222" s="805" t="s">
        <v>1194</v>
      </c>
      <c r="G222" s="806">
        <f>G223</f>
        <v>642.21202999999991</v>
      </c>
      <c r="H222" s="806"/>
      <c r="I222" s="806">
        <f>I223</f>
        <v>0</v>
      </c>
      <c r="J222" s="218"/>
    </row>
    <row r="223" spans="1:10" ht="45" customHeight="1">
      <c r="A223" s="803" t="s">
        <v>1174</v>
      </c>
      <c r="B223" s="804" t="s">
        <v>1181</v>
      </c>
      <c r="C223" s="804"/>
      <c r="D223" s="805" t="s">
        <v>117</v>
      </c>
      <c r="E223" s="805" t="s">
        <v>217</v>
      </c>
      <c r="F223" s="805" t="s">
        <v>1194</v>
      </c>
      <c r="G223" s="806">
        <f>G224+G225+G226</f>
        <v>642.21202999999991</v>
      </c>
      <c r="H223" s="806"/>
      <c r="I223" s="806">
        <f>I224+I225+I226</f>
        <v>0</v>
      </c>
      <c r="J223" s="218"/>
    </row>
    <row r="224" spans="1:10" ht="45" customHeight="1">
      <c r="A224" s="135" t="s">
        <v>518</v>
      </c>
      <c r="B224" s="129" t="s">
        <v>1179</v>
      </c>
      <c r="C224" s="811">
        <v>612</v>
      </c>
      <c r="D224" s="688" t="s">
        <v>117</v>
      </c>
      <c r="E224" s="688" t="s">
        <v>217</v>
      </c>
      <c r="F224" s="688" t="s">
        <v>215</v>
      </c>
      <c r="G224" s="399">
        <f>'пр. 10 2020г'!G310</f>
        <v>134.21010999999999</v>
      </c>
      <c r="H224" s="399"/>
      <c r="I224" s="399">
        <v>0</v>
      </c>
      <c r="J224" s="218"/>
    </row>
    <row r="225" spans="1:11" ht="45" customHeight="1">
      <c r="A225" s="136" t="s">
        <v>350</v>
      </c>
      <c r="B225" s="129" t="s">
        <v>1179</v>
      </c>
      <c r="C225" s="811">
        <v>622</v>
      </c>
      <c r="D225" s="688" t="s">
        <v>117</v>
      </c>
      <c r="E225" s="688" t="s">
        <v>217</v>
      </c>
      <c r="F225" s="688" t="s">
        <v>215</v>
      </c>
      <c r="G225" s="399">
        <f>'пр. 10 2020г'!G311</f>
        <v>30</v>
      </c>
      <c r="H225" s="399"/>
      <c r="I225" s="399">
        <v>0</v>
      </c>
      <c r="J225" s="218"/>
    </row>
    <row r="226" spans="1:11" ht="45" customHeight="1">
      <c r="A226" s="135" t="s">
        <v>518</v>
      </c>
      <c r="B226" s="129" t="s">
        <v>1179</v>
      </c>
      <c r="C226" s="811">
        <v>612</v>
      </c>
      <c r="D226" s="688" t="s">
        <v>117</v>
      </c>
      <c r="E226" s="688" t="s">
        <v>217</v>
      </c>
      <c r="F226" s="688" t="s">
        <v>216</v>
      </c>
      <c r="G226" s="399">
        <f>'пр. 10 2020г'!G352</f>
        <v>478.00191999999998</v>
      </c>
      <c r="H226" s="399"/>
      <c r="I226" s="399">
        <v>0</v>
      </c>
      <c r="J226" s="218"/>
    </row>
    <row r="227" spans="1:11" ht="45" customHeight="1">
      <c r="A227" s="803" t="s">
        <v>1175</v>
      </c>
      <c r="B227" s="804" t="s">
        <v>1182</v>
      </c>
      <c r="C227" s="804"/>
      <c r="D227" s="805" t="s">
        <v>117</v>
      </c>
      <c r="E227" s="805" t="s">
        <v>217</v>
      </c>
      <c r="F227" s="805" t="s">
        <v>1195</v>
      </c>
      <c r="G227" s="806">
        <f>G228</f>
        <v>591.32653000000005</v>
      </c>
      <c r="H227" s="806"/>
      <c r="I227" s="806">
        <f>I228</f>
        <v>481.5</v>
      </c>
      <c r="J227" s="218"/>
    </row>
    <row r="228" spans="1:11" ht="45" customHeight="1">
      <c r="A228" s="803" t="s">
        <v>1190</v>
      </c>
      <c r="B228" s="804" t="s">
        <v>1183</v>
      </c>
      <c r="C228" s="804"/>
      <c r="D228" s="805" t="s">
        <v>117</v>
      </c>
      <c r="E228" s="805" t="s">
        <v>217</v>
      </c>
      <c r="F228" s="805" t="s">
        <v>1195</v>
      </c>
      <c r="G228" s="806">
        <f>G229+G231+G233</f>
        <v>591.32653000000005</v>
      </c>
      <c r="H228" s="806">
        <f t="shared" ref="H228:I228" si="56">H229+H231+H233</f>
        <v>0</v>
      </c>
      <c r="I228" s="806">
        <f t="shared" si="56"/>
        <v>481.5</v>
      </c>
      <c r="J228" s="218"/>
    </row>
    <row r="229" spans="1:11" ht="45" customHeight="1">
      <c r="A229" s="136" t="s">
        <v>741</v>
      </c>
      <c r="B229" s="688" t="s">
        <v>1185</v>
      </c>
      <c r="C229" s="811"/>
      <c r="D229" s="688" t="s">
        <v>117</v>
      </c>
      <c r="E229" s="688" t="s">
        <v>217</v>
      </c>
      <c r="F229" s="688" t="s">
        <v>216</v>
      </c>
      <c r="G229" s="399">
        <f>G230</f>
        <v>481.5</v>
      </c>
      <c r="H229" s="399"/>
      <c r="I229" s="399">
        <f>I230</f>
        <v>481.5</v>
      </c>
      <c r="J229" s="218"/>
    </row>
    <row r="230" spans="1:11" ht="45" customHeight="1">
      <c r="A230" s="135" t="s">
        <v>518</v>
      </c>
      <c r="B230" s="688" t="s">
        <v>1185</v>
      </c>
      <c r="C230" s="811">
        <v>612</v>
      </c>
      <c r="D230" s="688" t="s">
        <v>117</v>
      </c>
      <c r="E230" s="688" t="s">
        <v>217</v>
      </c>
      <c r="F230" s="688" t="s">
        <v>216</v>
      </c>
      <c r="G230" s="399">
        <f>'пр. 10 2020г'!G356</f>
        <v>481.5</v>
      </c>
      <c r="H230" s="399"/>
      <c r="I230" s="399">
        <f>G230</f>
        <v>481.5</v>
      </c>
      <c r="J230" s="218"/>
    </row>
    <row r="231" spans="1:11" ht="54.75" customHeight="1">
      <c r="A231" s="136" t="s">
        <v>742</v>
      </c>
      <c r="B231" s="688" t="s">
        <v>1185</v>
      </c>
      <c r="C231" s="811"/>
      <c r="D231" s="688" t="s">
        <v>117</v>
      </c>
      <c r="E231" s="688" t="s">
        <v>217</v>
      </c>
      <c r="F231" s="688" t="s">
        <v>216</v>
      </c>
      <c r="G231" s="399">
        <f>G232</f>
        <v>9.82653</v>
      </c>
      <c r="H231" s="399"/>
      <c r="I231" s="399">
        <v>0</v>
      </c>
      <c r="J231" s="218"/>
    </row>
    <row r="232" spans="1:11" ht="45" customHeight="1">
      <c r="A232" s="135" t="s">
        <v>518</v>
      </c>
      <c r="B232" s="811"/>
      <c r="C232" s="811">
        <v>612</v>
      </c>
      <c r="D232" s="688" t="s">
        <v>117</v>
      </c>
      <c r="E232" s="688" t="s">
        <v>217</v>
      </c>
      <c r="F232" s="688" t="s">
        <v>216</v>
      </c>
      <c r="G232" s="399">
        <f>'пр. 10 2020г'!G358</f>
        <v>9.82653</v>
      </c>
      <c r="H232" s="399"/>
      <c r="I232" s="399">
        <v>0</v>
      </c>
      <c r="J232" s="218"/>
    </row>
    <row r="233" spans="1:11" ht="45" customHeight="1">
      <c r="A233" s="812" t="s">
        <v>1191</v>
      </c>
      <c r="B233" s="811" t="s">
        <v>1189</v>
      </c>
      <c r="C233" s="811"/>
      <c r="D233" s="688" t="s">
        <v>117</v>
      </c>
      <c r="E233" s="688" t="s">
        <v>217</v>
      </c>
      <c r="F233" s="688" t="s">
        <v>219</v>
      </c>
      <c r="G233" s="399">
        <f>G234</f>
        <v>100</v>
      </c>
      <c r="H233" s="399"/>
      <c r="I233" s="399">
        <v>0</v>
      </c>
      <c r="J233" s="218"/>
    </row>
    <row r="234" spans="1:11" ht="45" customHeight="1">
      <c r="A234" s="333" t="s">
        <v>814</v>
      </c>
      <c r="B234" s="811" t="s">
        <v>1189</v>
      </c>
      <c r="C234" s="811">
        <v>113</v>
      </c>
      <c r="D234" s="688" t="s">
        <v>117</v>
      </c>
      <c r="E234" s="688" t="s">
        <v>217</v>
      </c>
      <c r="F234" s="688" t="s">
        <v>219</v>
      </c>
      <c r="G234" s="399">
        <f>'пр. 10 2020г'!G432</f>
        <v>100</v>
      </c>
      <c r="H234" s="399"/>
      <c r="I234" s="399">
        <v>0</v>
      </c>
      <c r="J234" s="218"/>
    </row>
    <row r="235" spans="1:11" ht="45" customHeight="1">
      <c r="A235" s="512" t="s">
        <v>454</v>
      </c>
      <c r="B235" s="709" t="s">
        <v>1046</v>
      </c>
      <c r="C235" s="513"/>
      <c r="D235" s="129" t="s">
        <v>117</v>
      </c>
      <c r="E235" s="129" t="s">
        <v>217</v>
      </c>
      <c r="F235" s="129" t="s">
        <v>219</v>
      </c>
      <c r="G235" s="514">
        <f>G236</f>
        <v>300</v>
      </c>
      <c r="H235" s="514" t="e">
        <f>#REF!</f>
        <v>#REF!</v>
      </c>
      <c r="I235" s="514">
        <f>I236</f>
        <v>0</v>
      </c>
      <c r="J235" s="218">
        <f t="shared" si="55"/>
        <v>300</v>
      </c>
    </row>
    <row r="236" spans="1:11" ht="45" customHeight="1">
      <c r="A236" s="512" t="s">
        <v>966</v>
      </c>
      <c r="B236" s="709" t="s">
        <v>1045</v>
      </c>
      <c r="C236" s="513"/>
      <c r="D236" s="129" t="s">
        <v>117</v>
      </c>
      <c r="E236" s="129" t="s">
        <v>217</v>
      </c>
      <c r="F236" s="129" t="s">
        <v>219</v>
      </c>
      <c r="G236" s="514">
        <f>G237</f>
        <v>300</v>
      </c>
      <c r="H236" s="514"/>
      <c r="I236" s="514">
        <f>I237</f>
        <v>0</v>
      </c>
      <c r="J236" s="218">
        <f t="shared" si="55"/>
        <v>300</v>
      </c>
    </row>
    <row r="237" spans="1:11" ht="51" customHeight="1">
      <c r="A237" s="710" t="s">
        <v>275</v>
      </c>
      <c r="B237" s="121" t="s">
        <v>1045</v>
      </c>
      <c r="C237" s="121" t="s">
        <v>413</v>
      </c>
      <c r="D237" s="129" t="s">
        <v>117</v>
      </c>
      <c r="E237" s="129" t="s">
        <v>217</v>
      </c>
      <c r="F237" s="129" t="s">
        <v>219</v>
      </c>
      <c r="G237" s="401">
        <f>'пр. 10 2020г'!G398</f>
        <v>300</v>
      </c>
      <c r="H237" s="401"/>
      <c r="I237" s="401">
        <v>0</v>
      </c>
      <c r="J237" s="218">
        <f t="shared" si="55"/>
        <v>300</v>
      </c>
    </row>
    <row r="238" spans="1:11" ht="51" customHeight="1">
      <c r="A238" s="711" t="s">
        <v>968</v>
      </c>
      <c r="B238" s="678" t="s">
        <v>970</v>
      </c>
      <c r="C238" s="354"/>
      <c r="D238" s="129" t="s">
        <v>117</v>
      </c>
      <c r="E238" s="129" t="s">
        <v>217</v>
      </c>
      <c r="F238" s="129" t="s">
        <v>219</v>
      </c>
      <c r="G238" s="712">
        <f>G239</f>
        <v>21341.621769999998</v>
      </c>
      <c r="H238" s="712">
        <f t="shared" ref="H238:I238" si="57">H239</f>
        <v>0</v>
      </c>
      <c r="I238" s="712">
        <f t="shared" si="57"/>
        <v>6400.3065500000002</v>
      </c>
      <c r="J238" s="651">
        <f>'пр. 10 2020г'!H394</f>
        <v>6400.3065500000002</v>
      </c>
      <c r="K238" s="647">
        <f>I238-J238</f>
        <v>0</v>
      </c>
    </row>
    <row r="239" spans="1:11" ht="51" customHeight="1">
      <c r="A239" s="139" t="s">
        <v>969</v>
      </c>
      <c r="B239" s="678" t="s">
        <v>971</v>
      </c>
      <c r="C239" s="121"/>
      <c r="D239" s="129" t="s">
        <v>117</v>
      </c>
      <c r="E239" s="129" t="s">
        <v>217</v>
      </c>
      <c r="F239" s="129" t="s">
        <v>219</v>
      </c>
      <c r="G239" s="401">
        <f>G240+G243+G251+G254+G257+G260</f>
        <v>21341.621769999998</v>
      </c>
      <c r="H239" s="401">
        <f t="shared" ref="H239:I239" si="58">H240+H243+H251+H254+H257+H260</f>
        <v>0</v>
      </c>
      <c r="I239" s="401">
        <f t="shared" si="58"/>
        <v>6400.3065500000002</v>
      </c>
      <c r="J239" s="218"/>
    </row>
    <row r="240" spans="1:11" ht="51" customHeight="1">
      <c r="A240" s="642" t="s">
        <v>394</v>
      </c>
      <c r="B240" s="121" t="s">
        <v>1003</v>
      </c>
      <c r="C240" s="143"/>
      <c r="D240" s="129" t="s">
        <v>117</v>
      </c>
      <c r="E240" s="129" t="s">
        <v>217</v>
      </c>
      <c r="F240" s="129" t="s">
        <v>219</v>
      </c>
      <c r="G240" s="401">
        <f>G241+G242</f>
        <v>1628.77</v>
      </c>
      <c r="H240" s="401"/>
      <c r="I240" s="401">
        <v>0</v>
      </c>
      <c r="J240" s="218"/>
    </row>
    <row r="241" spans="1:10" ht="51" customHeight="1">
      <c r="A241" s="135" t="s">
        <v>429</v>
      </c>
      <c r="B241" s="121" t="s">
        <v>1003</v>
      </c>
      <c r="C241" s="557">
        <v>121</v>
      </c>
      <c r="D241" s="129" t="s">
        <v>117</v>
      </c>
      <c r="E241" s="129" t="s">
        <v>217</v>
      </c>
      <c r="F241" s="129" t="s">
        <v>219</v>
      </c>
      <c r="G241" s="401">
        <f>'пр. 10 2020г'!G407</f>
        <v>1250.97542</v>
      </c>
      <c r="H241" s="401"/>
      <c r="I241" s="401">
        <v>0</v>
      </c>
      <c r="J241" s="218"/>
    </row>
    <row r="242" spans="1:10" ht="51" customHeight="1">
      <c r="A242" s="615" t="s">
        <v>430</v>
      </c>
      <c r="B242" s="121" t="s">
        <v>1003</v>
      </c>
      <c r="C242" s="557">
        <v>129</v>
      </c>
      <c r="D242" s="129" t="s">
        <v>117</v>
      </c>
      <c r="E242" s="129" t="s">
        <v>217</v>
      </c>
      <c r="F242" s="129" t="s">
        <v>219</v>
      </c>
      <c r="G242" s="401">
        <f>'пр. 10 2020г'!G408</f>
        <v>377.79458</v>
      </c>
      <c r="H242" s="401"/>
      <c r="I242" s="401">
        <v>0</v>
      </c>
      <c r="J242" s="218"/>
    </row>
    <row r="243" spans="1:10" ht="51" customHeight="1">
      <c r="A243" s="68" t="s">
        <v>389</v>
      </c>
      <c r="B243" s="121" t="s">
        <v>1003</v>
      </c>
      <c r="C243" s="143"/>
      <c r="D243" s="129" t="s">
        <v>117</v>
      </c>
      <c r="E243" s="129" t="s">
        <v>217</v>
      </c>
      <c r="F243" s="129" t="s">
        <v>219</v>
      </c>
      <c r="G243" s="401">
        <f>G244+G245+G246+G247+G248+G249+G250</f>
        <v>12868.63</v>
      </c>
      <c r="H243" s="401"/>
      <c r="I243" s="401">
        <v>0</v>
      </c>
      <c r="J243" s="218"/>
    </row>
    <row r="244" spans="1:10" ht="51" customHeight="1">
      <c r="A244" s="333" t="s">
        <v>650</v>
      </c>
      <c r="B244" s="121" t="s">
        <v>1003</v>
      </c>
      <c r="C244" s="688" t="s">
        <v>438</v>
      </c>
      <c r="D244" s="129" t="s">
        <v>117</v>
      </c>
      <c r="E244" s="129" t="s">
        <v>217</v>
      </c>
      <c r="F244" s="129" t="s">
        <v>219</v>
      </c>
      <c r="G244" s="401">
        <f>'пр. 10 2020г'!G410</f>
        <v>7896.9969300000002</v>
      </c>
      <c r="H244" s="401"/>
      <c r="I244" s="401">
        <v>0</v>
      </c>
      <c r="J244" s="218"/>
    </row>
    <row r="245" spans="1:10" ht="51" customHeight="1">
      <c r="A245" s="333" t="s">
        <v>814</v>
      </c>
      <c r="B245" s="121" t="s">
        <v>1003</v>
      </c>
      <c r="C245" s="688" t="s">
        <v>813</v>
      </c>
      <c r="D245" s="129" t="s">
        <v>117</v>
      </c>
      <c r="E245" s="129" t="s">
        <v>217</v>
      </c>
      <c r="F245" s="129" t="s">
        <v>219</v>
      </c>
      <c r="G245" s="401">
        <f>'пр. 10 2020г'!G411</f>
        <v>0</v>
      </c>
      <c r="H245" s="401"/>
      <c r="I245" s="401">
        <v>0</v>
      </c>
      <c r="J245" s="218"/>
    </row>
    <row r="246" spans="1:10" ht="51" customHeight="1">
      <c r="A246" s="333" t="s">
        <v>651</v>
      </c>
      <c r="B246" s="121" t="s">
        <v>1003</v>
      </c>
      <c r="C246" s="688" t="s">
        <v>440</v>
      </c>
      <c r="D246" s="129" t="s">
        <v>117</v>
      </c>
      <c r="E246" s="129" t="s">
        <v>217</v>
      </c>
      <c r="F246" s="129" t="s">
        <v>219</v>
      </c>
      <c r="G246" s="401">
        <f>'пр. 10 2020г'!G412</f>
        <v>2384.8930700000001</v>
      </c>
      <c r="H246" s="401"/>
      <c r="I246" s="401">
        <v>0</v>
      </c>
      <c r="J246" s="218"/>
    </row>
    <row r="247" spans="1:10" ht="51" customHeight="1">
      <c r="A247" s="660" t="s">
        <v>418</v>
      </c>
      <c r="B247" s="121" t="s">
        <v>1003</v>
      </c>
      <c r="C247" s="688" t="s">
        <v>419</v>
      </c>
      <c r="D247" s="129" t="s">
        <v>117</v>
      </c>
      <c r="E247" s="129" t="s">
        <v>217</v>
      </c>
      <c r="F247" s="129" t="s">
        <v>219</v>
      </c>
      <c r="G247" s="401">
        <f>'пр. 10 2020г'!G413</f>
        <v>350</v>
      </c>
      <c r="H247" s="401"/>
      <c r="I247" s="401">
        <v>0</v>
      </c>
      <c r="J247" s="218"/>
    </row>
    <row r="248" spans="1:10" ht="51" customHeight="1">
      <c r="A248" s="139" t="s">
        <v>275</v>
      </c>
      <c r="B248" s="121" t="s">
        <v>1003</v>
      </c>
      <c r="C248" s="688" t="s">
        <v>413</v>
      </c>
      <c r="D248" s="129" t="s">
        <v>117</v>
      </c>
      <c r="E248" s="129" t="s">
        <v>217</v>
      </c>
      <c r="F248" s="129" t="s">
        <v>219</v>
      </c>
      <c r="G248" s="401">
        <f>'пр. 10 2020г'!G414</f>
        <v>2200.84</v>
      </c>
      <c r="H248" s="401"/>
      <c r="I248" s="401">
        <v>0</v>
      </c>
      <c r="J248" s="218"/>
    </row>
    <row r="249" spans="1:10" ht="51" customHeight="1">
      <c r="A249" s="135" t="s">
        <v>415</v>
      </c>
      <c r="B249" s="121" t="s">
        <v>1003</v>
      </c>
      <c r="C249" s="353">
        <v>851</v>
      </c>
      <c r="D249" s="129" t="s">
        <v>117</v>
      </c>
      <c r="E249" s="129" t="s">
        <v>217</v>
      </c>
      <c r="F249" s="129" t="s">
        <v>219</v>
      </c>
      <c r="G249" s="401">
        <f>'пр. 10 2020г'!G415</f>
        <v>4.8999999999999986</v>
      </c>
      <c r="H249" s="401"/>
      <c r="I249" s="401">
        <v>0</v>
      </c>
      <c r="J249" s="218"/>
    </row>
    <row r="250" spans="1:10" ht="51" customHeight="1">
      <c r="A250" s="135" t="s">
        <v>276</v>
      </c>
      <c r="B250" s="121" t="s">
        <v>1003</v>
      </c>
      <c r="C250" s="353">
        <v>852</v>
      </c>
      <c r="D250" s="129" t="s">
        <v>117</v>
      </c>
      <c r="E250" s="129" t="s">
        <v>217</v>
      </c>
      <c r="F250" s="129" t="s">
        <v>219</v>
      </c>
      <c r="G250" s="401">
        <f>'пр. 10 2020г'!G416</f>
        <v>31</v>
      </c>
      <c r="H250" s="401"/>
      <c r="I250" s="401">
        <v>0</v>
      </c>
      <c r="J250" s="218"/>
    </row>
    <row r="251" spans="1:10" ht="51" customHeight="1">
      <c r="A251" s="135" t="s">
        <v>441</v>
      </c>
      <c r="B251" s="121" t="s">
        <v>1004</v>
      </c>
      <c r="C251" s="353"/>
      <c r="D251" s="129" t="s">
        <v>117</v>
      </c>
      <c r="E251" s="129" t="s">
        <v>217</v>
      </c>
      <c r="F251" s="129" t="s">
        <v>219</v>
      </c>
      <c r="G251" s="401">
        <f>G252+G253</f>
        <v>47.3</v>
      </c>
      <c r="H251" s="401">
        <f t="shared" ref="H251:I251" si="59">H252+H253</f>
        <v>0</v>
      </c>
      <c r="I251" s="401">
        <f t="shared" si="59"/>
        <v>47.3</v>
      </c>
      <c r="J251" s="218"/>
    </row>
    <row r="252" spans="1:10" ht="51" customHeight="1">
      <c r="A252" s="135" t="s">
        <v>160</v>
      </c>
      <c r="B252" s="121" t="s">
        <v>1004</v>
      </c>
      <c r="C252" s="353">
        <v>121</v>
      </c>
      <c r="D252" s="129" t="s">
        <v>117</v>
      </c>
      <c r="E252" s="129" t="s">
        <v>217</v>
      </c>
      <c r="F252" s="129" t="s">
        <v>219</v>
      </c>
      <c r="G252" s="401">
        <f>'пр. 10 2020г'!G418</f>
        <v>36.32873</v>
      </c>
      <c r="H252" s="401"/>
      <c r="I252" s="401">
        <f>G252</f>
        <v>36.32873</v>
      </c>
      <c r="J252" s="218"/>
    </row>
    <row r="253" spans="1:10" ht="51" customHeight="1">
      <c r="A253" s="615" t="s">
        <v>430</v>
      </c>
      <c r="B253" s="121" t="s">
        <v>1004</v>
      </c>
      <c r="C253" s="353">
        <v>129</v>
      </c>
      <c r="D253" s="129" t="s">
        <v>117</v>
      </c>
      <c r="E253" s="129" t="s">
        <v>217</v>
      </c>
      <c r="F253" s="129" t="s">
        <v>219</v>
      </c>
      <c r="G253" s="401">
        <f>'пр. 10 2020г'!G419</f>
        <v>10.971269999999999</v>
      </c>
      <c r="H253" s="401"/>
      <c r="I253" s="401">
        <f>G253</f>
        <v>10.971269999999999</v>
      </c>
      <c r="J253" s="218"/>
    </row>
    <row r="254" spans="1:10" ht="51" customHeight="1">
      <c r="A254" s="68" t="s">
        <v>588</v>
      </c>
      <c r="B254" s="121" t="s">
        <v>1005</v>
      </c>
      <c r="C254" s="143"/>
      <c r="D254" s="129" t="s">
        <v>117</v>
      </c>
      <c r="E254" s="129" t="s">
        <v>217</v>
      </c>
      <c r="F254" s="129" t="s">
        <v>219</v>
      </c>
      <c r="G254" s="401">
        <f>G255+G256</f>
        <v>83.699999999999989</v>
      </c>
      <c r="H254" s="401"/>
      <c r="I254" s="401">
        <f>I255+I256</f>
        <v>83.699999999999989</v>
      </c>
      <c r="J254" s="218"/>
    </row>
    <row r="255" spans="1:10" ht="51" customHeight="1">
      <c r="A255" s="135" t="s">
        <v>160</v>
      </c>
      <c r="B255" s="121" t="s">
        <v>1005</v>
      </c>
      <c r="C255" s="121" t="s">
        <v>412</v>
      </c>
      <c r="D255" s="129" t="s">
        <v>117</v>
      </c>
      <c r="E255" s="129" t="s">
        <v>217</v>
      </c>
      <c r="F255" s="129" t="s">
        <v>219</v>
      </c>
      <c r="G255" s="401">
        <f>'пр. 10 2020г'!G421</f>
        <v>64.285709999999995</v>
      </c>
      <c r="H255" s="401"/>
      <c r="I255" s="401">
        <f>G255</f>
        <v>64.285709999999995</v>
      </c>
      <c r="J255" s="218"/>
    </row>
    <row r="256" spans="1:10" ht="51" customHeight="1">
      <c r="A256" s="615" t="s">
        <v>430</v>
      </c>
      <c r="B256" s="121" t="s">
        <v>1005</v>
      </c>
      <c r="C256" s="121" t="s">
        <v>431</v>
      </c>
      <c r="D256" s="129" t="s">
        <v>117</v>
      </c>
      <c r="E256" s="129" t="s">
        <v>217</v>
      </c>
      <c r="F256" s="129" t="s">
        <v>219</v>
      </c>
      <c r="G256" s="401">
        <f>'пр. 10 2020г'!G422</f>
        <v>19.414290000000001</v>
      </c>
      <c r="H256" s="401"/>
      <c r="I256" s="401">
        <f>G256</f>
        <v>19.414290000000001</v>
      </c>
      <c r="J256" s="218"/>
    </row>
    <row r="257" spans="1:10" ht="51" customHeight="1">
      <c r="A257" s="642" t="s">
        <v>918</v>
      </c>
      <c r="B257" s="121" t="s">
        <v>1006</v>
      </c>
      <c r="C257" s="143"/>
      <c r="D257" s="129" t="s">
        <v>117</v>
      </c>
      <c r="E257" s="129" t="s">
        <v>217</v>
      </c>
      <c r="F257" s="129" t="s">
        <v>219</v>
      </c>
      <c r="G257" s="401">
        <f>G258+G259</f>
        <v>6269.3065500000002</v>
      </c>
      <c r="H257" s="401">
        <f t="shared" ref="H257:I257" si="60">H258+H259</f>
        <v>0</v>
      </c>
      <c r="I257" s="401">
        <f t="shared" si="60"/>
        <v>6269.3065500000002</v>
      </c>
      <c r="J257" s="218"/>
    </row>
    <row r="258" spans="1:10" ht="51" customHeight="1">
      <c r="A258" s="333" t="s">
        <v>650</v>
      </c>
      <c r="B258" s="121" t="s">
        <v>1006</v>
      </c>
      <c r="C258" s="121" t="s">
        <v>438</v>
      </c>
      <c r="D258" s="129" t="s">
        <v>117</v>
      </c>
      <c r="E258" s="129" t="s">
        <v>217</v>
      </c>
      <c r="F258" s="129" t="s">
        <v>219</v>
      </c>
      <c r="G258" s="401">
        <f>'пр. 10 2020г'!G424</f>
        <v>4815.1354300000012</v>
      </c>
      <c r="H258" s="401"/>
      <c r="I258" s="401">
        <f>G258</f>
        <v>4815.1354300000012</v>
      </c>
      <c r="J258" s="218"/>
    </row>
    <row r="259" spans="1:10" ht="51" customHeight="1">
      <c r="A259" s="138" t="s">
        <v>651</v>
      </c>
      <c r="B259" s="121" t="s">
        <v>1006</v>
      </c>
      <c r="C259" s="121" t="s">
        <v>440</v>
      </c>
      <c r="D259" s="129" t="s">
        <v>117</v>
      </c>
      <c r="E259" s="129" t="s">
        <v>217</v>
      </c>
      <c r="F259" s="129" t="s">
        <v>219</v>
      </c>
      <c r="G259" s="401">
        <f>'пр. 10 2020г'!G425</f>
        <v>1454.1711199999988</v>
      </c>
      <c r="H259" s="401"/>
      <c r="I259" s="401">
        <f>G259</f>
        <v>1454.1711199999988</v>
      </c>
      <c r="J259" s="218"/>
    </row>
    <row r="260" spans="1:10" ht="51" customHeight="1">
      <c r="A260" s="642" t="s">
        <v>919</v>
      </c>
      <c r="B260" s="121" t="s">
        <v>1006</v>
      </c>
      <c r="C260" s="143"/>
      <c r="D260" s="129" t="s">
        <v>117</v>
      </c>
      <c r="E260" s="129" t="s">
        <v>217</v>
      </c>
      <c r="F260" s="129" t="s">
        <v>219</v>
      </c>
      <c r="G260" s="401">
        <f>G261+G262</f>
        <v>443.91521999999998</v>
      </c>
      <c r="H260" s="401">
        <f t="shared" ref="H260:I260" si="61">H261+H262</f>
        <v>0</v>
      </c>
      <c r="I260" s="401">
        <f t="shared" si="61"/>
        <v>0</v>
      </c>
      <c r="J260" s="218"/>
    </row>
    <row r="261" spans="1:10" ht="51" customHeight="1">
      <c r="A261" s="135" t="s">
        <v>650</v>
      </c>
      <c r="B261" s="121" t="s">
        <v>1006</v>
      </c>
      <c r="C261" s="121" t="s">
        <v>438</v>
      </c>
      <c r="D261" s="129" t="s">
        <v>117</v>
      </c>
      <c r="E261" s="129" t="s">
        <v>217</v>
      </c>
      <c r="F261" s="129" t="s">
        <v>219</v>
      </c>
      <c r="G261" s="401">
        <f>'пр. 10 2020г'!G427</f>
        <v>340.94889000000001</v>
      </c>
      <c r="H261" s="401"/>
      <c r="I261" s="401">
        <v>0</v>
      </c>
      <c r="J261" s="218"/>
    </row>
    <row r="262" spans="1:10" ht="51" customHeight="1">
      <c r="A262" s="138" t="s">
        <v>651</v>
      </c>
      <c r="B262" s="121" t="s">
        <v>1006</v>
      </c>
      <c r="C262" s="121" t="s">
        <v>440</v>
      </c>
      <c r="D262" s="129" t="s">
        <v>117</v>
      </c>
      <c r="E262" s="129" t="s">
        <v>217</v>
      </c>
      <c r="F262" s="129" t="s">
        <v>219</v>
      </c>
      <c r="G262" s="401">
        <f>'пр. 10 2020г'!G428</f>
        <v>102.96632999999999</v>
      </c>
      <c r="H262" s="401"/>
      <c r="I262" s="401">
        <v>0</v>
      </c>
      <c r="J262" s="218"/>
    </row>
    <row r="263" spans="1:10" ht="38.25">
      <c r="A263" s="499" t="s">
        <v>901</v>
      </c>
      <c r="B263" s="674" t="s">
        <v>869</v>
      </c>
      <c r="C263" s="375"/>
      <c r="D263" s="375" t="s">
        <v>203</v>
      </c>
      <c r="E263" s="375"/>
      <c r="F263" s="375"/>
      <c r="G263" s="675">
        <f>G264</f>
        <v>100.6808</v>
      </c>
      <c r="H263" s="675"/>
      <c r="I263" s="675">
        <v>0</v>
      </c>
      <c r="J263" s="218">
        <f>G263-I263</f>
        <v>100.6808</v>
      </c>
    </row>
    <row r="264" spans="1:10" ht="33.75" customHeight="1">
      <c r="A264" s="135" t="s">
        <v>1021</v>
      </c>
      <c r="B264" s="129" t="s">
        <v>869</v>
      </c>
      <c r="C264" s="121"/>
      <c r="D264" s="129" t="s">
        <v>203</v>
      </c>
      <c r="E264" s="129" t="s">
        <v>228</v>
      </c>
      <c r="F264" s="129" t="s">
        <v>218</v>
      </c>
      <c r="G264" s="145">
        <f>G265</f>
        <v>100.6808</v>
      </c>
      <c r="H264" s="145"/>
      <c r="I264" s="145">
        <v>0</v>
      </c>
      <c r="J264" s="218">
        <f>G264-I264</f>
        <v>100.6808</v>
      </c>
    </row>
    <row r="265" spans="1:10" ht="23.25" customHeight="1">
      <c r="A265" s="135" t="s">
        <v>411</v>
      </c>
      <c r="B265" s="129" t="s">
        <v>869</v>
      </c>
      <c r="C265" s="121" t="s">
        <v>422</v>
      </c>
      <c r="D265" s="129" t="s">
        <v>203</v>
      </c>
      <c r="E265" s="129" t="s">
        <v>228</v>
      </c>
      <c r="F265" s="129" t="s">
        <v>218</v>
      </c>
      <c r="G265" s="145">
        <f>'пр. 10 2020г'!G275</f>
        <v>100.6808</v>
      </c>
      <c r="H265" s="145"/>
      <c r="I265" s="145">
        <v>0</v>
      </c>
      <c r="J265" s="218">
        <f>G265-I265</f>
        <v>100.6808</v>
      </c>
    </row>
    <row r="266" spans="1:10" ht="38.25">
      <c r="A266" s="499" t="s">
        <v>771</v>
      </c>
      <c r="B266" s="611" t="s">
        <v>688</v>
      </c>
      <c r="C266" s="232"/>
      <c r="D266" s="232" t="s">
        <v>203</v>
      </c>
      <c r="E266" s="232"/>
      <c r="F266" s="232"/>
      <c r="G266" s="359">
        <f>G267</f>
        <v>10930.719799999999</v>
      </c>
      <c r="H266" s="359"/>
      <c r="I266" s="359">
        <f>I267</f>
        <v>10919.8</v>
      </c>
      <c r="J266" s="218">
        <f>G266-I266</f>
        <v>10.919799999999668</v>
      </c>
    </row>
    <row r="267" spans="1:10" ht="48" customHeight="1">
      <c r="A267" s="211" t="s">
        <v>1022</v>
      </c>
      <c r="B267" s="719"/>
      <c r="C267" s="558"/>
      <c r="D267" s="688" t="s">
        <v>203</v>
      </c>
      <c r="E267" s="688" t="s">
        <v>228</v>
      </c>
      <c r="F267" s="688" t="s">
        <v>218</v>
      </c>
      <c r="G267" s="559">
        <f>G268+G270</f>
        <v>10930.719799999999</v>
      </c>
      <c r="H267" s="559">
        <f t="shared" ref="H267:I267" si="62">H268+H270</f>
        <v>0</v>
      </c>
      <c r="I267" s="559">
        <f t="shared" si="62"/>
        <v>10919.8</v>
      </c>
      <c r="J267" s="218"/>
    </row>
    <row r="268" spans="1:10" ht="58.5" customHeight="1">
      <c r="A268" s="135" t="s">
        <v>773</v>
      </c>
      <c r="B268" s="611" t="s">
        <v>688</v>
      </c>
      <c r="C268" s="351"/>
      <c r="D268" s="129" t="s">
        <v>203</v>
      </c>
      <c r="E268" s="129" t="s">
        <v>228</v>
      </c>
      <c r="F268" s="129" t="s">
        <v>218</v>
      </c>
      <c r="G268" s="360">
        <f>G269</f>
        <v>10919.8</v>
      </c>
      <c r="H268" s="360"/>
      <c r="I268" s="360">
        <f>I269</f>
        <v>10919.8</v>
      </c>
      <c r="J268" s="218">
        <f>G268-I268</f>
        <v>0</v>
      </c>
    </row>
    <row r="269" spans="1:10">
      <c r="A269" s="135" t="s">
        <v>411</v>
      </c>
      <c r="B269" s="611" t="s">
        <v>688</v>
      </c>
      <c r="C269" s="121" t="s">
        <v>422</v>
      </c>
      <c r="D269" s="129" t="s">
        <v>203</v>
      </c>
      <c r="E269" s="129" t="s">
        <v>228</v>
      </c>
      <c r="F269" s="129" t="s">
        <v>218</v>
      </c>
      <c r="G269" s="145">
        <f>'пр. 10 2020г'!G279</f>
        <v>10919.8</v>
      </c>
      <c r="H269" s="145"/>
      <c r="I269" s="145">
        <f>G269</f>
        <v>10919.8</v>
      </c>
      <c r="J269" s="218">
        <f>G269-I269</f>
        <v>0</v>
      </c>
    </row>
    <row r="270" spans="1:10" ht="51">
      <c r="A270" s="135" t="s">
        <v>772</v>
      </c>
      <c r="B270" s="611" t="s">
        <v>688</v>
      </c>
      <c r="C270" s="121"/>
      <c r="D270" s="129" t="s">
        <v>203</v>
      </c>
      <c r="E270" s="129" t="s">
        <v>228</v>
      </c>
      <c r="F270" s="129" t="s">
        <v>218</v>
      </c>
      <c r="G270" s="145">
        <f>G271</f>
        <v>10.9198</v>
      </c>
      <c r="H270" s="145"/>
      <c r="I270" s="145">
        <f>I271</f>
        <v>0</v>
      </c>
      <c r="J270" s="218">
        <f>G270-I270</f>
        <v>10.9198</v>
      </c>
    </row>
    <row r="271" spans="1:10">
      <c r="A271" s="135" t="s">
        <v>411</v>
      </c>
      <c r="B271" s="611" t="s">
        <v>688</v>
      </c>
      <c r="C271" s="121" t="s">
        <v>422</v>
      </c>
      <c r="D271" s="129" t="s">
        <v>203</v>
      </c>
      <c r="E271" s="129" t="s">
        <v>228</v>
      </c>
      <c r="F271" s="129" t="s">
        <v>218</v>
      </c>
      <c r="G271" s="145">
        <f>'пр. 10 2020г'!G281</f>
        <v>10.9198</v>
      </c>
      <c r="H271" s="145"/>
      <c r="I271" s="145">
        <v>0</v>
      </c>
      <c r="J271" s="218">
        <f>G271-I271</f>
        <v>10.9198</v>
      </c>
    </row>
    <row r="272" spans="1:10" ht="38.25">
      <c r="A272" s="142" t="s">
        <v>870</v>
      </c>
      <c r="B272" s="676" t="s">
        <v>1050</v>
      </c>
      <c r="C272" s="676"/>
      <c r="D272" s="676" t="s">
        <v>872</v>
      </c>
      <c r="E272" s="676"/>
      <c r="F272" s="676"/>
      <c r="G272" s="677">
        <f>G273+G275+G276</f>
        <v>13444.699999999999</v>
      </c>
      <c r="H272" s="677">
        <f t="shared" ref="H272:I272" si="63">H273+H275+H276</f>
        <v>0</v>
      </c>
      <c r="I272" s="677">
        <f t="shared" si="63"/>
        <v>531.4</v>
      </c>
      <c r="J272" s="218"/>
    </row>
    <row r="273" spans="1:10" ht="81" customHeight="1">
      <c r="A273" s="254" t="s">
        <v>1013</v>
      </c>
      <c r="B273" s="678" t="s">
        <v>1050</v>
      </c>
      <c r="C273" s="678"/>
      <c r="D273" s="678"/>
      <c r="E273" s="678"/>
      <c r="F273" s="678"/>
      <c r="G273" s="679">
        <f>G274</f>
        <v>50</v>
      </c>
      <c r="H273" s="399"/>
      <c r="I273" s="399">
        <f>I274</f>
        <v>0</v>
      </c>
      <c r="J273" s="218"/>
    </row>
    <row r="274" spans="1:10" ht="38.25">
      <c r="A274" s="139" t="s">
        <v>275</v>
      </c>
      <c r="B274" s="678" t="s">
        <v>871</v>
      </c>
      <c r="C274" s="678" t="s">
        <v>413</v>
      </c>
      <c r="D274" s="678" t="s">
        <v>117</v>
      </c>
      <c r="E274" s="678" t="s">
        <v>217</v>
      </c>
      <c r="F274" s="678" t="s">
        <v>219</v>
      </c>
      <c r="G274" s="680">
        <f>'пр. 10 2020г'!G401</f>
        <v>50</v>
      </c>
      <c r="H274" s="146"/>
      <c r="I274" s="146">
        <v>0</v>
      </c>
      <c r="J274" s="218"/>
    </row>
    <row r="275" spans="1:10" ht="38.25">
      <c r="A275" s="139" t="s">
        <v>275</v>
      </c>
      <c r="B275" s="678" t="s">
        <v>873</v>
      </c>
      <c r="C275" s="678" t="s">
        <v>413</v>
      </c>
      <c r="D275" s="678" t="s">
        <v>1112</v>
      </c>
      <c r="E275" s="678" t="s">
        <v>224</v>
      </c>
      <c r="F275" s="678" t="s">
        <v>219</v>
      </c>
      <c r="G275" s="680">
        <f>'пр. 10 2020г'!G150+'пр. 10 2020г'!G445</f>
        <v>12863.3</v>
      </c>
      <c r="H275" s="146"/>
      <c r="I275" s="146">
        <v>0</v>
      </c>
      <c r="J275" s="218"/>
    </row>
    <row r="276" spans="1:10" ht="51">
      <c r="A276" s="254" t="s">
        <v>868</v>
      </c>
      <c r="B276" s="121" t="s">
        <v>1113</v>
      </c>
      <c r="C276" s="121"/>
      <c r="D276" s="678" t="s">
        <v>662</v>
      </c>
      <c r="E276" s="678" t="s">
        <v>224</v>
      </c>
      <c r="F276" s="678" t="s">
        <v>219</v>
      </c>
      <c r="G276" s="680">
        <f>G277</f>
        <v>531.4</v>
      </c>
      <c r="H276" s="146"/>
      <c r="I276" s="146">
        <f>I277</f>
        <v>531.4</v>
      </c>
      <c r="J276" s="218"/>
    </row>
    <row r="277" spans="1:10" ht="38.25">
      <c r="A277" s="139" t="s">
        <v>275</v>
      </c>
      <c r="B277" s="121" t="s">
        <v>1113</v>
      </c>
      <c r="C277" s="121" t="s">
        <v>413</v>
      </c>
      <c r="D277" s="678" t="s">
        <v>662</v>
      </c>
      <c r="E277" s="678" t="s">
        <v>224</v>
      </c>
      <c r="F277" s="678" t="s">
        <v>219</v>
      </c>
      <c r="G277" s="680">
        <f>'пр. 10 2020г'!G447</f>
        <v>531.4</v>
      </c>
      <c r="H277" s="146"/>
      <c r="I277" s="146">
        <f>G277</f>
        <v>531.4</v>
      </c>
      <c r="J277" s="218"/>
    </row>
    <row r="278" spans="1:10" ht="51" customHeight="1">
      <c r="A278" s="683" t="s">
        <v>883</v>
      </c>
      <c r="B278" s="375" t="s">
        <v>994</v>
      </c>
      <c r="C278" s="684"/>
      <c r="D278" s="684" t="s">
        <v>203</v>
      </c>
      <c r="E278" s="684"/>
      <c r="F278" s="684"/>
      <c r="G278" s="685">
        <f>G279</f>
        <v>10</v>
      </c>
      <c r="H278" s="359"/>
      <c r="I278" s="359">
        <v>0</v>
      </c>
      <c r="J278" s="218"/>
    </row>
    <row r="279" spans="1:10" ht="25.5">
      <c r="A279" s="713" t="s">
        <v>1018</v>
      </c>
      <c r="B279" s="700" t="s">
        <v>1051</v>
      </c>
      <c r="C279" s="678">
        <v>200</v>
      </c>
      <c r="D279" s="678" t="s">
        <v>203</v>
      </c>
      <c r="E279" s="678" t="s">
        <v>220</v>
      </c>
      <c r="F279" s="678" t="s">
        <v>218</v>
      </c>
      <c r="G279" s="680">
        <f>G280</f>
        <v>10</v>
      </c>
      <c r="H279" s="146"/>
      <c r="I279" s="146">
        <v>0</v>
      </c>
      <c r="J279" s="218"/>
    </row>
    <row r="280" spans="1:10" ht="38.25">
      <c r="A280" s="139" t="s">
        <v>275</v>
      </c>
      <c r="B280" s="688" t="s">
        <v>996</v>
      </c>
      <c r="C280" s="678" t="s">
        <v>413</v>
      </c>
      <c r="D280" s="678" t="s">
        <v>203</v>
      </c>
      <c r="E280" s="678" t="s">
        <v>220</v>
      </c>
      <c r="F280" s="678" t="s">
        <v>218</v>
      </c>
      <c r="G280" s="680">
        <f>'пр. 10 2020г'!G229</f>
        <v>10</v>
      </c>
      <c r="H280" s="146"/>
      <c r="I280" s="146">
        <v>0</v>
      </c>
      <c r="J280" s="218"/>
    </row>
    <row r="281" spans="1:10" ht="15" customHeight="1">
      <c r="A281" s="366" t="s">
        <v>145</v>
      </c>
      <c r="B281" s="213"/>
      <c r="C281" s="213"/>
      <c r="D281" s="213"/>
      <c r="E281" s="213"/>
      <c r="F281" s="213"/>
      <c r="G281" s="359">
        <f>G11+G15+G25+G45+G48+G75+G78+G87+G93+G106+G121+G134+G263+G266+G272+G278</f>
        <v>1006301.8115299999</v>
      </c>
      <c r="H281" s="359" t="e">
        <f>H11+H15+H25+H45+H48+H75+H78+H87+H93+H106+H121+H134+H263+H266+H272+H278</f>
        <v>#REF!</v>
      </c>
      <c r="I281" s="359">
        <f>I11+I15+I25+I45+I48+I56+I62+I65+I75+I78+I87+I93+I106+I121+I134+I263+I266+I272+I278</f>
        <v>742097.4</v>
      </c>
      <c r="J281" s="218">
        <f>G281-I281</f>
        <v>264204.41152999992</v>
      </c>
    </row>
    <row r="282" spans="1:10" ht="54.75" customHeight="1">
      <c r="A282" s="364"/>
      <c r="B282" s="362"/>
      <c r="C282" s="363"/>
      <c r="D282" s="363"/>
      <c r="E282" s="363"/>
      <c r="F282" s="363"/>
      <c r="G282" s="405"/>
      <c r="H282" s="405"/>
      <c r="I282" s="405"/>
    </row>
    <row r="283" spans="1:10" ht="67.5" customHeight="1">
      <c r="A283" s="364"/>
      <c r="B283" s="362"/>
      <c r="C283" s="362"/>
      <c r="D283" s="363"/>
      <c r="E283" s="363"/>
      <c r="F283" s="363"/>
      <c r="G283" s="405"/>
      <c r="H283" s="405"/>
      <c r="I283" s="405"/>
    </row>
    <row r="284" spans="1:10" ht="30" customHeight="1">
      <c r="A284" s="365"/>
      <c r="B284" s="358"/>
      <c r="C284" s="358"/>
      <c r="D284" s="358"/>
      <c r="E284" s="358"/>
      <c r="F284" s="358"/>
      <c r="G284" s="406"/>
      <c r="H284" s="406"/>
      <c r="I284" s="406"/>
    </row>
    <row r="285" spans="1:10" ht="30" customHeight="1">
      <c r="A285" s="365"/>
      <c r="B285" s="358"/>
      <c r="C285" s="358"/>
      <c r="D285" s="358"/>
      <c r="E285" s="358"/>
      <c r="F285" s="358"/>
      <c r="G285" s="406"/>
      <c r="H285" s="406"/>
      <c r="I285" s="406"/>
    </row>
    <row r="286" spans="1:10" ht="30" customHeight="1"/>
    <row r="287" spans="1:10" ht="30" customHeight="1"/>
    <row r="288" spans="1:10" ht="30" customHeight="1"/>
    <row r="289" spans="10:10" ht="43.5" customHeight="1"/>
    <row r="290" spans="10:10" ht="30" customHeight="1"/>
    <row r="291" spans="10:10" ht="30" customHeight="1"/>
    <row r="292" spans="10:10" ht="28.5" customHeight="1">
      <c r="J292" s="367"/>
    </row>
    <row r="293" spans="10:10">
      <c r="J293" s="255"/>
    </row>
    <row r="294" spans="10:10">
      <c r="J294" s="255"/>
    </row>
    <row r="295" spans="10:10">
      <c r="J295" s="255"/>
    </row>
    <row r="296" spans="10:10">
      <c r="J296" s="255"/>
    </row>
  </sheetData>
  <mergeCells count="1">
    <mergeCell ref="A8:G8"/>
  </mergeCells>
  <pageMargins left="0.70866141732283472" right="0.70866141732283472" top="0.74803149606299213" bottom="0.74803149606299213" header="0.31496062992125984" footer="0.31496062992125984"/>
  <pageSetup paperSize="9" scale="51" fitToWidth="6" fitToHeight="9" orientation="portrait" r:id="rId1"/>
  <rowBreaks count="1" manualBreakCount="1">
    <brk id="34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08"/>
  <sheetViews>
    <sheetView view="pageBreakPreview" zoomScale="60" workbookViewId="0">
      <selection activeCell="H193" sqref="A1:H193"/>
    </sheetView>
  </sheetViews>
  <sheetFormatPr defaultRowHeight="12.75"/>
  <cols>
    <col min="1" max="1" width="44.28515625" style="94" customWidth="1"/>
    <col min="2" max="2" width="13.85546875" style="168" customWidth="1"/>
    <col min="3" max="3" width="9.140625" style="168"/>
    <col min="4" max="4" width="9" style="168" customWidth="1"/>
    <col min="5" max="5" width="9.140625" style="168" customWidth="1"/>
    <col min="6" max="6" width="9.5703125" style="168" customWidth="1"/>
    <col min="7" max="7" width="16.28515625" style="396" customWidth="1"/>
    <col min="8" max="8" width="15.5703125" style="396" customWidth="1"/>
    <col min="9" max="9" width="21.140625" style="151" customWidth="1"/>
    <col min="10" max="10" width="15.42578125" customWidth="1"/>
    <col min="11" max="11" width="21.5703125" customWidth="1"/>
    <col min="12" max="12" width="13.42578125" customWidth="1"/>
  </cols>
  <sheetData>
    <row r="1" spans="1:9">
      <c r="D1" s="416"/>
      <c r="E1" s="416"/>
      <c r="F1" s="416"/>
      <c r="G1" s="416" t="s">
        <v>452</v>
      </c>
      <c r="H1" s="416"/>
    </row>
    <row r="2" spans="1:9">
      <c r="D2" s="416"/>
      <c r="E2" s="416"/>
      <c r="F2" s="416"/>
      <c r="G2" s="416" t="s">
        <v>204</v>
      </c>
      <c r="H2" s="416"/>
    </row>
    <row r="3" spans="1:9">
      <c r="D3" s="416"/>
      <c r="E3" s="416"/>
      <c r="F3" s="416"/>
      <c r="G3" s="416" t="s">
        <v>306</v>
      </c>
      <c r="H3" s="416"/>
    </row>
    <row r="4" spans="1:9">
      <c r="D4" s="696"/>
      <c r="E4" s="696"/>
      <c r="F4" s="696"/>
      <c r="G4" s="696" t="s">
        <v>153</v>
      </c>
      <c r="H4" s="696"/>
    </row>
    <row r="5" spans="1:9">
      <c r="D5" s="696"/>
      <c r="E5" s="696"/>
      <c r="F5" s="696"/>
      <c r="G5" s="696" t="s">
        <v>307</v>
      </c>
      <c r="H5" s="696"/>
    </row>
    <row r="6" spans="1:9">
      <c r="D6" s="696"/>
      <c r="E6" s="696"/>
      <c r="F6" s="696"/>
      <c r="G6" s="696" t="s">
        <v>1084</v>
      </c>
      <c r="H6" s="696"/>
    </row>
    <row r="7" spans="1:9">
      <c r="D7" s="699"/>
      <c r="E7" s="699"/>
      <c r="F7" s="896" t="s">
        <v>1086</v>
      </c>
      <c r="G7" s="896"/>
      <c r="H7" s="699"/>
    </row>
    <row r="8" spans="1:9">
      <c r="A8" s="894" t="s">
        <v>783</v>
      </c>
      <c r="B8" s="895"/>
      <c r="C8" s="895"/>
      <c r="D8" s="895"/>
      <c r="E8" s="895"/>
      <c r="F8" s="895"/>
      <c r="G8" s="895"/>
    </row>
    <row r="9" spans="1:9">
      <c r="G9" s="397" t="s">
        <v>107</v>
      </c>
    </row>
    <row r="10" spans="1:9" s="141" customFormat="1" ht="25.5">
      <c r="A10" s="694" t="s">
        <v>209</v>
      </c>
      <c r="B10" s="694" t="s">
        <v>212</v>
      </c>
      <c r="C10" s="694" t="s">
        <v>213</v>
      </c>
      <c r="D10" s="694" t="s">
        <v>305</v>
      </c>
      <c r="E10" s="694" t="s">
        <v>210</v>
      </c>
      <c r="F10" s="694" t="s">
        <v>211</v>
      </c>
      <c r="G10" s="398" t="s">
        <v>781</v>
      </c>
      <c r="H10" s="227" t="s">
        <v>923</v>
      </c>
      <c r="I10" s="361"/>
    </row>
    <row r="11" spans="1:9" ht="51">
      <c r="A11" s="142" t="s">
        <v>890</v>
      </c>
      <c r="B11" s="132" t="s">
        <v>551</v>
      </c>
      <c r="C11" s="132"/>
      <c r="D11" s="132"/>
      <c r="E11" s="375"/>
      <c r="F11" s="375"/>
      <c r="G11" s="144">
        <f>G12</f>
        <v>160</v>
      </c>
      <c r="H11" s="144">
        <f>H12</f>
        <v>160</v>
      </c>
      <c r="I11" s="218"/>
    </row>
    <row r="12" spans="1:9" ht="25.5">
      <c r="A12" s="211" t="s">
        <v>1017</v>
      </c>
      <c r="B12" s="558" t="s">
        <v>551</v>
      </c>
      <c r="C12" s="558"/>
      <c r="D12" s="558" t="s">
        <v>924</v>
      </c>
      <c r="E12" s="688" t="s">
        <v>226</v>
      </c>
      <c r="F12" s="688" t="s">
        <v>215</v>
      </c>
      <c r="G12" s="559">
        <f>G13</f>
        <v>160</v>
      </c>
      <c r="H12" s="559">
        <f>H13</f>
        <v>160</v>
      </c>
      <c r="I12" s="218"/>
    </row>
    <row r="13" spans="1:9">
      <c r="A13" s="135" t="s">
        <v>271</v>
      </c>
      <c r="B13" s="134" t="s">
        <v>551</v>
      </c>
      <c r="C13" s="134" t="s">
        <v>268</v>
      </c>
      <c r="D13" s="134" t="s">
        <v>117</v>
      </c>
      <c r="E13" s="134" t="s">
        <v>217</v>
      </c>
      <c r="F13" s="134" t="s">
        <v>215</v>
      </c>
      <c r="G13" s="399">
        <f>'пр.11 2021-2022г'!G273</f>
        <v>160</v>
      </c>
      <c r="H13" s="399">
        <f>'пр.11 2021-2022г'!H273</f>
        <v>160</v>
      </c>
      <c r="I13" s="218"/>
    </row>
    <row r="14" spans="1:9" ht="25.5">
      <c r="A14" s="142" t="s">
        <v>891</v>
      </c>
      <c r="B14" s="132" t="s">
        <v>621</v>
      </c>
      <c r="C14" s="132"/>
      <c r="D14" s="132"/>
      <c r="E14" s="132"/>
      <c r="F14" s="132"/>
      <c r="G14" s="144">
        <f>G15+G21</f>
        <v>2817.7</v>
      </c>
      <c r="H14" s="144">
        <f>H15+H21</f>
        <v>2939.7</v>
      </c>
      <c r="I14" s="218"/>
    </row>
    <row r="15" spans="1:9" ht="51">
      <c r="A15" s="256" t="s">
        <v>892</v>
      </c>
      <c r="B15" s="336" t="s">
        <v>991</v>
      </c>
      <c r="C15" s="257"/>
      <c r="D15" s="336">
        <v>934</v>
      </c>
      <c r="E15" s="336" t="s">
        <v>220</v>
      </c>
      <c r="F15" s="336" t="s">
        <v>218</v>
      </c>
      <c r="G15" s="400">
        <f>G17+G19</f>
        <v>2747.7</v>
      </c>
      <c r="H15" s="400">
        <f>H16</f>
        <v>2869.7</v>
      </c>
      <c r="I15" s="218"/>
    </row>
    <row r="16" spans="1:9" ht="25.5">
      <c r="A16" s="717" t="s">
        <v>990</v>
      </c>
      <c r="B16" s="129" t="s">
        <v>991</v>
      </c>
      <c r="C16" s="558"/>
      <c r="D16" s="688">
        <v>934</v>
      </c>
      <c r="E16" s="688" t="s">
        <v>220</v>
      </c>
      <c r="F16" s="688" t="s">
        <v>218</v>
      </c>
      <c r="G16" s="559">
        <f>G17+G19</f>
        <v>2747.7</v>
      </c>
      <c r="H16" s="559">
        <f>H17+H19</f>
        <v>2869.7</v>
      </c>
      <c r="I16" s="218"/>
    </row>
    <row r="17" spans="1:12" s="216" customFormat="1" ht="44.25" customHeight="1">
      <c r="A17" s="556" t="s">
        <v>793</v>
      </c>
      <c r="B17" s="129" t="s">
        <v>617</v>
      </c>
      <c r="C17" s="558"/>
      <c r="D17" s="134">
        <v>934</v>
      </c>
      <c r="E17" s="134" t="s">
        <v>220</v>
      </c>
      <c r="F17" s="134" t="s">
        <v>218</v>
      </c>
      <c r="G17" s="559">
        <f>G18</f>
        <v>2247.6999999999998</v>
      </c>
      <c r="H17" s="559">
        <f>H18</f>
        <v>2369.6999999999998</v>
      </c>
      <c r="I17" s="218"/>
    </row>
    <row r="18" spans="1:12" ht="44.25" customHeight="1">
      <c r="A18" s="135" t="s">
        <v>344</v>
      </c>
      <c r="B18" s="129" t="s">
        <v>617</v>
      </c>
      <c r="C18" s="134" t="s">
        <v>342</v>
      </c>
      <c r="D18" s="134">
        <v>934</v>
      </c>
      <c r="E18" s="134" t="s">
        <v>220</v>
      </c>
      <c r="F18" s="134" t="s">
        <v>218</v>
      </c>
      <c r="G18" s="146">
        <f>'пр.11 2021-2022г'!G194</f>
        <v>2247.6999999999998</v>
      </c>
      <c r="H18" s="146">
        <f>'пр.11 2021-2022г'!H194</f>
        <v>2369.6999999999998</v>
      </c>
      <c r="I18" s="218"/>
    </row>
    <row r="19" spans="1:12" s="216" customFormat="1" ht="51">
      <c r="A19" s="556" t="s">
        <v>794</v>
      </c>
      <c r="B19" s="129" t="s">
        <v>617</v>
      </c>
      <c r="C19" s="134"/>
      <c r="D19" s="134">
        <v>934</v>
      </c>
      <c r="E19" s="134" t="s">
        <v>220</v>
      </c>
      <c r="F19" s="134" t="s">
        <v>218</v>
      </c>
      <c r="G19" s="146">
        <f>G20</f>
        <v>500</v>
      </c>
      <c r="H19" s="146">
        <f>H20</f>
        <v>500</v>
      </c>
      <c r="I19" s="218"/>
    </row>
    <row r="20" spans="1:12" s="216" customFormat="1">
      <c r="A20" s="135" t="s">
        <v>344</v>
      </c>
      <c r="B20" s="129" t="s">
        <v>617</v>
      </c>
      <c r="C20" s="134" t="s">
        <v>342</v>
      </c>
      <c r="D20" s="557">
        <v>934</v>
      </c>
      <c r="E20" s="130" t="s">
        <v>220</v>
      </c>
      <c r="F20" s="130" t="s">
        <v>218</v>
      </c>
      <c r="G20" s="146">
        <f>'пр.11 2021-2022г'!G196</f>
        <v>500</v>
      </c>
      <c r="H20" s="146">
        <f>'пр.11 2021-2022г'!H196</f>
        <v>500</v>
      </c>
      <c r="I20" s="218"/>
    </row>
    <row r="21" spans="1:12" ht="25.5">
      <c r="A21" s="256" t="s">
        <v>893</v>
      </c>
      <c r="B21" s="257" t="s">
        <v>554</v>
      </c>
      <c r="C21" s="257"/>
      <c r="D21" s="121" t="s">
        <v>203</v>
      </c>
      <c r="E21" s="121" t="s">
        <v>217</v>
      </c>
      <c r="F21" s="121" t="s">
        <v>217</v>
      </c>
      <c r="G21" s="400">
        <f>G23</f>
        <v>70</v>
      </c>
      <c r="H21" s="400">
        <f>H23</f>
        <v>70</v>
      </c>
      <c r="I21" s="218"/>
    </row>
    <row r="22" spans="1:12" ht="27" customHeight="1">
      <c r="A22" s="256" t="s">
        <v>1016</v>
      </c>
      <c r="B22" s="257" t="s">
        <v>554</v>
      </c>
      <c r="C22" s="257"/>
      <c r="D22" s="121" t="s">
        <v>203</v>
      </c>
      <c r="E22" s="121" t="s">
        <v>217</v>
      </c>
      <c r="F22" s="121" t="s">
        <v>217</v>
      </c>
      <c r="G22" s="400">
        <f>G23</f>
        <v>70</v>
      </c>
      <c r="H22" s="400">
        <f>H23</f>
        <v>70</v>
      </c>
      <c r="I22" s="218"/>
    </row>
    <row r="23" spans="1:12" ht="38.25">
      <c r="A23" s="139" t="s">
        <v>275</v>
      </c>
      <c r="B23" s="121" t="s">
        <v>554</v>
      </c>
      <c r="C23" s="121" t="s">
        <v>413</v>
      </c>
      <c r="D23" s="121" t="s">
        <v>203</v>
      </c>
      <c r="E23" s="121" t="s">
        <v>217</v>
      </c>
      <c r="F23" s="121" t="s">
        <v>217</v>
      </c>
      <c r="G23" s="352">
        <f>'пр.11 2021-2022г'!G173</f>
        <v>70</v>
      </c>
      <c r="H23" s="146">
        <f>'пр.11 2021-2022г'!H173</f>
        <v>70</v>
      </c>
      <c r="I23" s="218"/>
    </row>
    <row r="24" spans="1:12" s="151" customFormat="1" ht="41.25" customHeight="1">
      <c r="A24" s="142" t="s">
        <v>894</v>
      </c>
      <c r="B24" s="132" t="s">
        <v>579</v>
      </c>
      <c r="C24" s="132"/>
      <c r="D24" s="132">
        <v>934</v>
      </c>
      <c r="E24" s="132"/>
      <c r="F24" s="132"/>
      <c r="G24" s="144">
        <f>G26+G28+G30+G31+G33+G35+G37+G39</f>
        <v>57614.114999999998</v>
      </c>
      <c r="H24" s="144">
        <f t="shared" ref="H24" si="0">H26+H28+H30+H31+H33+H35+H37+H39</f>
        <v>57614.114999999998</v>
      </c>
      <c r="I24" s="218"/>
    </row>
    <row r="25" spans="1:12" s="151" customFormat="1" ht="41.25" customHeight="1">
      <c r="A25" s="142" t="s">
        <v>1053</v>
      </c>
      <c r="B25" s="132" t="s">
        <v>579</v>
      </c>
      <c r="C25" s="132"/>
      <c r="D25" s="132">
        <v>934</v>
      </c>
      <c r="E25" s="132" t="s">
        <v>1052</v>
      </c>
      <c r="F25" s="132" t="s">
        <v>1049</v>
      </c>
      <c r="G25" s="144">
        <f>G26+G28+G30+G31+G33+G35+G37+G39</f>
        <v>57614.114999999998</v>
      </c>
      <c r="H25" s="144">
        <f t="shared" ref="H25" si="1">H26+H28+H30+H31+H33+H35+H37+H39</f>
        <v>57614.114999999998</v>
      </c>
      <c r="I25" s="218"/>
    </row>
    <row r="26" spans="1:12" s="94" customFormat="1" ht="102">
      <c r="A26" s="137" t="s">
        <v>184</v>
      </c>
      <c r="B26" s="130" t="s">
        <v>730</v>
      </c>
      <c r="C26" s="130"/>
      <c r="D26" s="133" t="s">
        <v>203</v>
      </c>
      <c r="E26" s="133" t="s">
        <v>217</v>
      </c>
      <c r="F26" s="133" t="s">
        <v>218</v>
      </c>
      <c r="G26" s="145">
        <f>G27</f>
        <v>6425.6</v>
      </c>
      <c r="H26" s="145">
        <f t="shared" ref="H26" si="2">H27</f>
        <v>6425.6</v>
      </c>
      <c r="I26" s="218"/>
      <c r="J26" s="334"/>
      <c r="L26" s="334"/>
    </row>
    <row r="27" spans="1:12" s="94" customFormat="1">
      <c r="A27" s="135" t="s">
        <v>350</v>
      </c>
      <c r="B27" s="129" t="s">
        <v>730</v>
      </c>
      <c r="C27" s="129" t="s">
        <v>351</v>
      </c>
      <c r="D27" s="134" t="s">
        <v>203</v>
      </c>
      <c r="E27" s="134" t="s">
        <v>217</v>
      </c>
      <c r="F27" s="134" t="s">
        <v>218</v>
      </c>
      <c r="G27" s="145">
        <f>'пр.11 2021-2022г'!G164</f>
        <v>6425.6</v>
      </c>
      <c r="H27" s="146">
        <f>'пр.11 2021-2022г'!H164</f>
        <v>6425.6</v>
      </c>
      <c r="I27" s="218"/>
      <c r="J27" s="334"/>
      <c r="L27" s="334"/>
    </row>
    <row r="28" spans="1:12" s="94" customFormat="1" ht="102">
      <c r="A28" s="135" t="s">
        <v>729</v>
      </c>
      <c r="B28" s="129" t="s">
        <v>730</v>
      </c>
      <c r="C28" s="130"/>
      <c r="D28" s="133" t="s">
        <v>203</v>
      </c>
      <c r="E28" s="133" t="s">
        <v>217</v>
      </c>
      <c r="F28" s="133" t="s">
        <v>218</v>
      </c>
      <c r="G28" s="145">
        <f>G29</f>
        <v>2017.34</v>
      </c>
      <c r="H28" s="146">
        <f>H29</f>
        <v>2017.34</v>
      </c>
      <c r="I28" s="218"/>
      <c r="J28" s="334"/>
      <c r="L28" s="334"/>
    </row>
    <row r="29" spans="1:12" s="94" customFormat="1">
      <c r="A29" s="135" t="s">
        <v>350</v>
      </c>
      <c r="B29" s="129" t="s">
        <v>730</v>
      </c>
      <c r="C29" s="129" t="s">
        <v>351</v>
      </c>
      <c r="D29" s="134" t="s">
        <v>203</v>
      </c>
      <c r="E29" s="134" t="s">
        <v>217</v>
      </c>
      <c r="F29" s="134" t="s">
        <v>218</v>
      </c>
      <c r="G29" s="145">
        <f>'пр.11 2021-2022г'!G166</f>
        <v>2017.34</v>
      </c>
      <c r="H29" s="146">
        <f>'пр.11 2021-2022г'!H166</f>
        <v>2017.34</v>
      </c>
      <c r="I29" s="218"/>
      <c r="J29" s="334"/>
      <c r="L29" s="334"/>
    </row>
    <row r="30" spans="1:12" s="94" customFormat="1">
      <c r="A30" s="135" t="s">
        <v>348</v>
      </c>
      <c r="B30" s="121" t="s">
        <v>553</v>
      </c>
      <c r="C30" s="129" t="s">
        <v>421</v>
      </c>
      <c r="D30" s="134" t="s">
        <v>203</v>
      </c>
      <c r="E30" s="121" t="s">
        <v>217</v>
      </c>
      <c r="F30" s="121" t="s">
        <v>218</v>
      </c>
      <c r="G30" s="145">
        <f>'пр.11 2021-2022г'!G168</f>
        <v>4349.8900000000003</v>
      </c>
      <c r="H30" s="145">
        <f>'пр.11 2021-2022г'!H168</f>
        <v>4349.8900000000003</v>
      </c>
      <c r="I30" s="218"/>
      <c r="J30" s="334"/>
      <c r="L30" s="334"/>
    </row>
    <row r="31" spans="1:12" ht="51">
      <c r="A31" s="68" t="s">
        <v>143</v>
      </c>
      <c r="B31" s="129" t="s">
        <v>558</v>
      </c>
      <c r="C31" s="130"/>
      <c r="D31" s="133" t="s">
        <v>203</v>
      </c>
      <c r="E31" s="133" t="s">
        <v>226</v>
      </c>
      <c r="F31" s="133" t="s">
        <v>215</v>
      </c>
      <c r="G31" s="401">
        <f>G32</f>
        <v>9672.3629999999994</v>
      </c>
      <c r="H31" s="401">
        <f t="shared" ref="H31" si="3">H32</f>
        <v>9672.3629999999994</v>
      </c>
      <c r="I31" s="218"/>
    </row>
    <row r="32" spans="1:12" ht="51">
      <c r="A32" s="135" t="s">
        <v>270</v>
      </c>
      <c r="B32" s="129" t="s">
        <v>558</v>
      </c>
      <c r="C32" s="129" t="s">
        <v>420</v>
      </c>
      <c r="D32" s="134" t="s">
        <v>203</v>
      </c>
      <c r="E32" s="134" t="s">
        <v>226</v>
      </c>
      <c r="F32" s="134" t="s">
        <v>215</v>
      </c>
      <c r="G32" s="145">
        <f>'пр.11 2021-2022г'!G179</f>
        <v>9672.3629999999994</v>
      </c>
      <c r="H32" s="146">
        <f>'пр.11 2021-2022г'!H179</f>
        <v>9672.3629999999994</v>
      </c>
      <c r="I32" s="218"/>
    </row>
    <row r="33" spans="1:11" ht="51">
      <c r="A33" s="68" t="s">
        <v>143</v>
      </c>
      <c r="B33" s="129" t="s">
        <v>559</v>
      </c>
      <c r="C33" s="129"/>
      <c r="D33" s="133" t="s">
        <v>203</v>
      </c>
      <c r="E33" s="133" t="s">
        <v>226</v>
      </c>
      <c r="F33" s="133" t="s">
        <v>215</v>
      </c>
      <c r="G33" s="145">
        <f>G34</f>
        <v>2169.692</v>
      </c>
      <c r="H33" s="145">
        <f t="shared" ref="H33" si="4">H34</f>
        <v>2169.692</v>
      </c>
      <c r="I33" s="218"/>
    </row>
    <row r="34" spans="1:11" ht="51">
      <c r="A34" s="135" t="s">
        <v>270</v>
      </c>
      <c r="B34" s="129" t="s">
        <v>559</v>
      </c>
      <c r="C34" s="129" t="s">
        <v>420</v>
      </c>
      <c r="D34" s="134" t="s">
        <v>203</v>
      </c>
      <c r="E34" s="134" t="s">
        <v>226</v>
      </c>
      <c r="F34" s="134" t="s">
        <v>215</v>
      </c>
      <c r="G34" s="145">
        <f>'пр.11 2021-2022г'!G181</f>
        <v>2169.692</v>
      </c>
      <c r="H34" s="146">
        <f>'пр.11 2021-2022г'!H181</f>
        <v>2169.692</v>
      </c>
      <c r="I34" s="218"/>
    </row>
    <row r="35" spans="1:11" ht="25.5">
      <c r="A35" s="135" t="s">
        <v>144</v>
      </c>
      <c r="B35" s="121" t="s">
        <v>815</v>
      </c>
      <c r="C35" s="129"/>
      <c r="D35" s="134" t="s">
        <v>203</v>
      </c>
      <c r="E35" s="134" t="s">
        <v>226</v>
      </c>
      <c r="F35" s="134" t="s">
        <v>215</v>
      </c>
      <c r="G35" s="145">
        <f>G36</f>
        <v>19102.2</v>
      </c>
      <c r="H35" s="145">
        <f t="shared" ref="H35" si="5">H36</f>
        <v>19102.2</v>
      </c>
      <c r="I35" s="218"/>
    </row>
    <row r="36" spans="1:11">
      <c r="A36" s="135" t="s">
        <v>271</v>
      </c>
      <c r="B36" s="121" t="s">
        <v>815</v>
      </c>
      <c r="C36" s="129" t="s">
        <v>268</v>
      </c>
      <c r="D36" s="134" t="s">
        <v>203</v>
      </c>
      <c r="E36" s="134" t="s">
        <v>226</v>
      </c>
      <c r="F36" s="134" t="s">
        <v>215</v>
      </c>
      <c r="G36" s="145">
        <f>'пр.11 2021-2022г'!G183</f>
        <v>19102.2</v>
      </c>
      <c r="H36" s="146">
        <f>'пр.11 2021-2022г'!H183</f>
        <v>19102.2</v>
      </c>
      <c r="I36" s="218"/>
    </row>
    <row r="37" spans="1:11" ht="38.25">
      <c r="A37" s="135" t="s">
        <v>728</v>
      </c>
      <c r="B37" s="121" t="s">
        <v>815</v>
      </c>
      <c r="C37" s="129"/>
      <c r="D37" s="134" t="s">
        <v>203</v>
      </c>
      <c r="E37" s="134" t="s">
        <v>226</v>
      </c>
      <c r="F37" s="134" t="s">
        <v>215</v>
      </c>
      <c r="G37" s="145">
        <f>G38</f>
        <v>13290.03</v>
      </c>
      <c r="H37" s="146">
        <f>H38</f>
        <v>13290.03</v>
      </c>
      <c r="I37" s="218"/>
    </row>
    <row r="38" spans="1:11">
      <c r="A38" s="135" t="s">
        <v>271</v>
      </c>
      <c r="B38" s="121" t="s">
        <v>815</v>
      </c>
      <c r="C38" s="129" t="s">
        <v>268</v>
      </c>
      <c r="D38" s="134" t="s">
        <v>203</v>
      </c>
      <c r="E38" s="134" t="s">
        <v>226</v>
      </c>
      <c r="F38" s="134" t="s">
        <v>215</v>
      </c>
      <c r="G38" s="145">
        <f>'пр.11 2021-2022г'!G185</f>
        <v>13290.03</v>
      </c>
      <c r="H38" s="146">
        <f>'пр.11 2021-2022г'!H185</f>
        <v>13290.03</v>
      </c>
      <c r="I38" s="218"/>
    </row>
    <row r="39" spans="1:11" ht="229.5">
      <c r="A39" s="45" t="s">
        <v>809</v>
      </c>
      <c r="B39" s="121" t="s">
        <v>433</v>
      </c>
      <c r="C39" s="129"/>
      <c r="D39" s="134" t="s">
        <v>203</v>
      </c>
      <c r="E39" s="134"/>
      <c r="F39" s="134"/>
      <c r="G39" s="145">
        <f>G40+G41</f>
        <v>587</v>
      </c>
      <c r="H39" s="145">
        <f t="shared" ref="H39" si="6">H40+H41</f>
        <v>587</v>
      </c>
      <c r="I39" s="218"/>
    </row>
    <row r="40" spans="1:11">
      <c r="A40" s="135" t="s">
        <v>271</v>
      </c>
      <c r="B40" s="121" t="s">
        <v>433</v>
      </c>
      <c r="C40" s="129" t="s">
        <v>268</v>
      </c>
      <c r="D40" s="134" t="s">
        <v>203</v>
      </c>
      <c r="E40" s="134" t="s">
        <v>220</v>
      </c>
      <c r="F40" s="134" t="s">
        <v>218</v>
      </c>
      <c r="G40" s="145">
        <f>'пр.11 2021-2022г'!G203</f>
        <v>384</v>
      </c>
      <c r="H40" s="146">
        <f>'пр.11 2021-2022г'!H203</f>
        <v>384</v>
      </c>
      <c r="I40" s="218"/>
    </row>
    <row r="41" spans="1:11">
      <c r="A41" s="135" t="s">
        <v>350</v>
      </c>
      <c r="B41" s="121" t="s">
        <v>433</v>
      </c>
      <c r="C41" s="129" t="s">
        <v>351</v>
      </c>
      <c r="D41" s="134" t="s">
        <v>203</v>
      </c>
      <c r="E41" s="134" t="s">
        <v>220</v>
      </c>
      <c r="F41" s="134" t="s">
        <v>218</v>
      </c>
      <c r="G41" s="145">
        <f>'пр.11 2021-2022г'!G204</f>
        <v>203</v>
      </c>
      <c r="H41" s="146">
        <f>'пр.11 2021-2022г'!H204</f>
        <v>203</v>
      </c>
      <c r="I41" s="218"/>
    </row>
    <row r="42" spans="1:11" ht="51">
      <c r="A42" s="142" t="s">
        <v>895</v>
      </c>
      <c r="B42" s="131" t="s">
        <v>566</v>
      </c>
      <c r="C42" s="132"/>
      <c r="D42" s="132" t="s">
        <v>203</v>
      </c>
      <c r="E42" s="131"/>
      <c r="F42" s="131"/>
      <c r="G42" s="144">
        <f>G43+G48+G54+G57</f>
        <v>34331.057999999997</v>
      </c>
      <c r="H42" s="144">
        <f>H43+H48+H54+H57</f>
        <v>34381.057999999997</v>
      </c>
      <c r="I42" s="218"/>
    </row>
    <row r="43" spans="1:11" ht="25.5">
      <c r="A43" s="729" t="s">
        <v>1117</v>
      </c>
      <c r="B43" s="354" t="s">
        <v>531</v>
      </c>
      <c r="C43" s="257"/>
      <c r="D43" s="257" t="s">
        <v>203</v>
      </c>
      <c r="E43" s="337"/>
      <c r="F43" s="337"/>
      <c r="G43" s="400">
        <f>G45+G46+G47</f>
        <v>33435.858</v>
      </c>
      <c r="H43" s="400">
        <f t="shared" ref="H43" si="7">H45+H46+H47</f>
        <v>33435.858</v>
      </c>
      <c r="I43" s="218"/>
    </row>
    <row r="44" spans="1:11" ht="38.25">
      <c r="A44" s="556" t="s">
        <v>1118</v>
      </c>
      <c r="B44" s="354" t="s">
        <v>531</v>
      </c>
      <c r="C44" s="257"/>
      <c r="D44" s="257" t="s">
        <v>203</v>
      </c>
      <c r="E44" s="337"/>
      <c r="F44" s="337"/>
      <c r="G44" s="400">
        <f>G45+G46+G47</f>
        <v>33435.858</v>
      </c>
      <c r="H44" s="400">
        <f t="shared" ref="H44" si="8">H45+H46+H47</f>
        <v>33435.858</v>
      </c>
      <c r="I44" s="218"/>
    </row>
    <row r="45" spans="1:11" ht="38.25">
      <c r="A45" s="139" t="s">
        <v>275</v>
      </c>
      <c r="B45" s="121" t="s">
        <v>531</v>
      </c>
      <c r="C45" s="121" t="s">
        <v>413</v>
      </c>
      <c r="D45" s="121" t="s">
        <v>203</v>
      </c>
      <c r="E45" s="143" t="s">
        <v>215</v>
      </c>
      <c r="F45" s="143" t="s">
        <v>224</v>
      </c>
      <c r="G45" s="352">
        <f>'пр.11 2021-2022г'!G78</f>
        <v>125</v>
      </c>
      <c r="H45" s="352">
        <f>'пр.11 2021-2022г'!H78</f>
        <v>125</v>
      </c>
      <c r="I45" s="218"/>
    </row>
    <row r="46" spans="1:11" ht="51">
      <c r="A46" s="135" t="s">
        <v>270</v>
      </c>
      <c r="B46" s="121" t="s">
        <v>531</v>
      </c>
      <c r="C46" s="121" t="s">
        <v>420</v>
      </c>
      <c r="D46" s="121" t="s">
        <v>203</v>
      </c>
      <c r="E46" s="143" t="s">
        <v>215</v>
      </c>
      <c r="F46" s="143" t="s">
        <v>241</v>
      </c>
      <c r="G46" s="352">
        <f>'пр.11 2021-2022г'!G104</f>
        <v>32610.858</v>
      </c>
      <c r="H46" s="352">
        <f>'пр.11 2021-2022г'!H104</f>
        <v>32610.858</v>
      </c>
      <c r="I46" s="218"/>
    </row>
    <row r="47" spans="1:11">
      <c r="A47" s="135" t="s">
        <v>348</v>
      </c>
      <c r="B47" s="121" t="s">
        <v>531</v>
      </c>
      <c r="C47" s="121" t="s">
        <v>421</v>
      </c>
      <c r="D47" s="121" t="s">
        <v>203</v>
      </c>
      <c r="E47" s="143" t="s">
        <v>222</v>
      </c>
      <c r="F47" s="143" t="s">
        <v>216</v>
      </c>
      <c r="G47" s="352">
        <f>'пр.11 2021-2022г'!G244</f>
        <v>700</v>
      </c>
      <c r="H47" s="352">
        <f>'пр.11 2021-2022г'!H244</f>
        <v>700</v>
      </c>
      <c r="I47" s="218"/>
    </row>
    <row r="48" spans="1:11" ht="25.5">
      <c r="A48" s="256" t="s">
        <v>896</v>
      </c>
      <c r="B48" s="257" t="s">
        <v>737</v>
      </c>
      <c r="C48" s="257"/>
      <c r="D48" s="257" t="s">
        <v>203</v>
      </c>
      <c r="E48" s="337"/>
      <c r="F48" s="337"/>
      <c r="G48" s="400">
        <f>G50+G52</f>
        <v>128.19999999999999</v>
      </c>
      <c r="H48" s="400">
        <f>H50+H52</f>
        <v>128.19999999999999</v>
      </c>
      <c r="I48" s="218"/>
      <c r="K48" s="653"/>
    </row>
    <row r="49" spans="1:11" ht="25.5">
      <c r="A49" s="256" t="s">
        <v>1009</v>
      </c>
      <c r="B49" s="257" t="s">
        <v>981</v>
      </c>
      <c r="C49" s="257"/>
      <c r="D49" s="257" t="s">
        <v>203</v>
      </c>
      <c r="E49" s="337"/>
      <c r="F49" s="337"/>
      <c r="G49" s="400">
        <f>G50+G52</f>
        <v>128.19999999999999</v>
      </c>
      <c r="H49" s="400">
        <f t="shared" ref="H49" si="9">H50+H52</f>
        <v>128.19999999999999</v>
      </c>
      <c r="I49" s="218"/>
      <c r="K49" s="653"/>
    </row>
    <row r="50" spans="1:11" ht="51">
      <c r="A50" s="616" t="s">
        <v>738</v>
      </c>
      <c r="B50" s="411" t="s">
        <v>982</v>
      </c>
      <c r="C50" s="129"/>
      <c r="D50" s="134" t="s">
        <v>203</v>
      </c>
      <c r="E50" s="133" t="s">
        <v>215</v>
      </c>
      <c r="F50" s="133" t="s">
        <v>241</v>
      </c>
      <c r="G50" s="145">
        <f>G51</f>
        <v>64.099999999999994</v>
      </c>
      <c r="H50" s="145">
        <f>H51</f>
        <v>64.099999999999994</v>
      </c>
      <c r="I50" s="218"/>
    </row>
    <row r="51" spans="1:11" ht="38.25">
      <c r="A51" s="139" t="s">
        <v>275</v>
      </c>
      <c r="B51" s="411" t="s">
        <v>982</v>
      </c>
      <c r="C51" s="134" t="s">
        <v>413</v>
      </c>
      <c r="D51" s="134" t="s">
        <v>203</v>
      </c>
      <c r="E51" s="133" t="s">
        <v>215</v>
      </c>
      <c r="F51" s="133" t="s">
        <v>241</v>
      </c>
      <c r="G51" s="146">
        <f>'пр.11 2021-2022г'!G99</f>
        <v>64.099999999999994</v>
      </c>
      <c r="H51" s="146">
        <f>'пр.11 2021-2022г'!H99</f>
        <v>64.099999999999994</v>
      </c>
      <c r="I51" s="218"/>
    </row>
    <row r="52" spans="1:11" ht="38.25">
      <c r="A52" s="616" t="s">
        <v>577</v>
      </c>
      <c r="B52" s="411" t="s">
        <v>982</v>
      </c>
      <c r="C52" s="129"/>
      <c r="D52" s="134" t="s">
        <v>203</v>
      </c>
      <c r="E52" s="133" t="s">
        <v>215</v>
      </c>
      <c r="F52" s="133" t="s">
        <v>241</v>
      </c>
      <c r="G52" s="146">
        <f>G53</f>
        <v>64.099999999999994</v>
      </c>
      <c r="H52" s="146">
        <f>H53</f>
        <v>64.099999999999994</v>
      </c>
      <c r="I52" s="218"/>
    </row>
    <row r="53" spans="1:11" s="151" customFormat="1" ht="38.25">
      <c r="A53" s="139" t="s">
        <v>275</v>
      </c>
      <c r="B53" s="411" t="s">
        <v>982</v>
      </c>
      <c r="C53" s="134" t="s">
        <v>413</v>
      </c>
      <c r="D53" s="134" t="s">
        <v>203</v>
      </c>
      <c r="E53" s="133" t="s">
        <v>215</v>
      </c>
      <c r="F53" s="133" t="s">
        <v>241</v>
      </c>
      <c r="G53" s="146">
        <f>'пр.11 2021-2022г'!G101</f>
        <v>64.099999999999994</v>
      </c>
      <c r="H53" s="146">
        <f>'пр.11 2021-2022г'!H101</f>
        <v>64.099999999999994</v>
      </c>
      <c r="I53" s="218"/>
    </row>
    <row r="54" spans="1:11" ht="38.25">
      <c r="A54" s="256" t="s">
        <v>897</v>
      </c>
      <c r="B54" s="257" t="s">
        <v>523</v>
      </c>
      <c r="C54" s="257"/>
      <c r="D54" s="257"/>
      <c r="E54" s="337"/>
      <c r="F54" s="337"/>
      <c r="G54" s="400">
        <f>G56</f>
        <v>750</v>
      </c>
      <c r="H54" s="400">
        <f>H56</f>
        <v>800</v>
      </c>
      <c r="I54" s="218"/>
    </row>
    <row r="55" spans="1:11" ht="25.5">
      <c r="A55" s="135" t="s">
        <v>1020</v>
      </c>
      <c r="B55" s="121" t="s">
        <v>997</v>
      </c>
      <c r="C55" s="558"/>
      <c r="D55" s="558" t="s">
        <v>203</v>
      </c>
      <c r="E55" s="558" t="s">
        <v>228</v>
      </c>
      <c r="F55" s="558" t="s">
        <v>218</v>
      </c>
      <c r="G55" s="559">
        <f>G56</f>
        <v>750</v>
      </c>
      <c r="H55" s="559">
        <f>H56</f>
        <v>800</v>
      </c>
      <c r="I55" s="218"/>
    </row>
    <row r="56" spans="1:11" ht="13.5">
      <c r="A56" s="135" t="s">
        <v>411</v>
      </c>
      <c r="B56" s="121" t="s">
        <v>998</v>
      </c>
      <c r="C56" s="134" t="s">
        <v>422</v>
      </c>
      <c r="D56" s="134" t="s">
        <v>203</v>
      </c>
      <c r="E56" s="133" t="s">
        <v>228</v>
      </c>
      <c r="F56" s="613" t="s">
        <v>218</v>
      </c>
      <c r="G56" s="399">
        <f>'пр.11 2021-2022г'!G253</f>
        <v>750</v>
      </c>
      <c r="H56" s="559">
        <f>'пр.11 2021-2022г'!H253</f>
        <v>800</v>
      </c>
      <c r="I56" s="218"/>
    </row>
    <row r="57" spans="1:11" ht="38.25">
      <c r="A57" s="256" t="s">
        <v>898</v>
      </c>
      <c r="B57" s="257" t="s">
        <v>521</v>
      </c>
      <c r="C57" s="257"/>
      <c r="D57" s="257" t="s">
        <v>203</v>
      </c>
      <c r="E57" s="337"/>
      <c r="F57" s="337"/>
      <c r="G57" s="400">
        <f>G59+G61</f>
        <v>17</v>
      </c>
      <c r="H57" s="400">
        <f>H59+H61</f>
        <v>17</v>
      </c>
      <c r="I57" s="218"/>
    </row>
    <row r="58" spans="1:11" ht="25.5">
      <c r="A58" s="211" t="s">
        <v>1054</v>
      </c>
      <c r="B58" s="558" t="s">
        <v>521</v>
      </c>
      <c r="C58" s="558"/>
      <c r="D58" s="688" t="s">
        <v>203</v>
      </c>
      <c r="E58" s="704" t="s">
        <v>224</v>
      </c>
      <c r="F58" s="704" t="s">
        <v>222</v>
      </c>
      <c r="G58" s="559">
        <f>G59+G61</f>
        <v>17</v>
      </c>
      <c r="H58" s="559">
        <f t="shared" ref="H58" si="10">H59+H61</f>
        <v>17</v>
      </c>
      <c r="I58" s="218"/>
    </row>
    <row r="59" spans="1:11" ht="38.25">
      <c r="A59" s="669" t="s">
        <v>739</v>
      </c>
      <c r="B59" s="134" t="s">
        <v>522</v>
      </c>
      <c r="C59" s="134"/>
      <c r="D59" s="134" t="s">
        <v>203</v>
      </c>
      <c r="E59" s="133" t="s">
        <v>224</v>
      </c>
      <c r="F59" s="133" t="s">
        <v>222</v>
      </c>
      <c r="G59" s="146">
        <f>G60</f>
        <v>0</v>
      </c>
      <c r="H59" s="146">
        <f>H60</f>
        <v>0</v>
      </c>
      <c r="I59" s="218"/>
    </row>
    <row r="60" spans="1:11" ht="38.25">
      <c r="A60" s="139" t="s">
        <v>275</v>
      </c>
      <c r="B60" s="134" t="s">
        <v>522</v>
      </c>
      <c r="C60" s="134" t="s">
        <v>413</v>
      </c>
      <c r="D60" s="134" t="s">
        <v>203</v>
      </c>
      <c r="E60" s="133" t="s">
        <v>224</v>
      </c>
      <c r="F60" s="133" t="s">
        <v>222</v>
      </c>
      <c r="G60" s="146">
        <v>0</v>
      </c>
      <c r="H60" s="146">
        <v>0</v>
      </c>
      <c r="I60" s="218"/>
    </row>
    <row r="61" spans="1:11" ht="51">
      <c r="A61" s="660" t="s">
        <v>740</v>
      </c>
      <c r="B61" s="134" t="s">
        <v>522</v>
      </c>
      <c r="C61" s="134"/>
      <c r="D61" s="134" t="s">
        <v>203</v>
      </c>
      <c r="E61" s="133" t="s">
        <v>224</v>
      </c>
      <c r="F61" s="133" t="s">
        <v>222</v>
      </c>
      <c r="G61" s="146">
        <f>G62</f>
        <v>17</v>
      </c>
      <c r="H61" s="146">
        <f>H62</f>
        <v>17</v>
      </c>
      <c r="I61" s="218"/>
    </row>
    <row r="62" spans="1:11" ht="38.25">
      <c r="A62" s="139" t="s">
        <v>275</v>
      </c>
      <c r="B62" s="134" t="s">
        <v>522</v>
      </c>
      <c r="C62" s="134" t="s">
        <v>413</v>
      </c>
      <c r="D62" s="134" t="s">
        <v>203</v>
      </c>
      <c r="E62" s="133" t="s">
        <v>224</v>
      </c>
      <c r="F62" s="133" t="s">
        <v>222</v>
      </c>
      <c r="G62" s="146">
        <f>'пр.11 2021-2022г'!G153</f>
        <v>17</v>
      </c>
      <c r="H62" s="146">
        <f>'пр.11 2021-2022г'!H153</f>
        <v>17</v>
      </c>
      <c r="I62" s="218"/>
    </row>
    <row r="63" spans="1:11" ht="38.25">
      <c r="A63" s="142" t="s">
        <v>899</v>
      </c>
      <c r="B63" s="134" t="s">
        <v>985</v>
      </c>
      <c r="C63" s="132"/>
      <c r="D63" s="132" t="s">
        <v>203</v>
      </c>
      <c r="E63" s="132" t="s">
        <v>218</v>
      </c>
      <c r="F63" s="132" t="s">
        <v>219</v>
      </c>
      <c r="G63" s="144">
        <f>G65</f>
        <v>150</v>
      </c>
      <c r="H63" s="144">
        <f>H65</f>
        <v>150</v>
      </c>
      <c r="I63" s="218"/>
    </row>
    <row r="64" spans="1:11" ht="38.25">
      <c r="A64" s="211" t="s">
        <v>1010</v>
      </c>
      <c r="B64" s="134" t="s">
        <v>540</v>
      </c>
      <c r="C64" s="558"/>
      <c r="D64" s="134" t="s">
        <v>203</v>
      </c>
      <c r="E64" s="134" t="s">
        <v>218</v>
      </c>
      <c r="F64" s="134" t="s">
        <v>219</v>
      </c>
      <c r="G64" s="559">
        <f>G65</f>
        <v>150</v>
      </c>
      <c r="H64" s="559">
        <v>0</v>
      </c>
      <c r="I64" s="218"/>
    </row>
    <row r="65" spans="1:9" ht="38.25">
      <c r="A65" s="139" t="s">
        <v>275</v>
      </c>
      <c r="B65" s="134" t="s">
        <v>540</v>
      </c>
      <c r="C65" s="134" t="s">
        <v>413</v>
      </c>
      <c r="D65" s="134" t="s">
        <v>203</v>
      </c>
      <c r="E65" s="134" t="s">
        <v>218</v>
      </c>
      <c r="F65" s="134" t="s">
        <v>219</v>
      </c>
      <c r="G65" s="146">
        <f>'пр.11 2021-2022г'!G122</f>
        <v>150</v>
      </c>
      <c r="H65" s="146">
        <f>'пр.11 2021-2022г'!H122</f>
        <v>150</v>
      </c>
      <c r="I65" s="218"/>
    </row>
    <row r="66" spans="1:9" ht="38.25">
      <c r="A66" s="142" t="s">
        <v>900</v>
      </c>
      <c r="B66" s="132" t="s">
        <v>621</v>
      </c>
      <c r="C66" s="132"/>
      <c r="D66" s="132" t="s">
        <v>203</v>
      </c>
      <c r="E66" s="132"/>
      <c r="F66" s="132"/>
      <c r="G66" s="144">
        <f>G67</f>
        <v>16286.389859999999</v>
      </c>
      <c r="H66" s="144">
        <f>H67</f>
        <v>16286.389859999999</v>
      </c>
      <c r="I66" s="218"/>
    </row>
    <row r="67" spans="1:9" ht="25.5">
      <c r="A67" s="142" t="s">
        <v>1019</v>
      </c>
      <c r="B67" s="132" t="s">
        <v>1055</v>
      </c>
      <c r="C67" s="132"/>
      <c r="D67" s="132" t="s">
        <v>203</v>
      </c>
      <c r="E67" s="132" t="s">
        <v>1228</v>
      </c>
      <c r="F67" s="132" t="s">
        <v>1056</v>
      </c>
      <c r="G67" s="144">
        <f>G70+G71+G72+G73+G75+G68</f>
        <v>16286.389859999999</v>
      </c>
      <c r="H67" s="144">
        <f>H70+H71+H72+H73+H75+H68</f>
        <v>16286.389859999999</v>
      </c>
      <c r="I67" s="218"/>
    </row>
    <row r="68" spans="1:9" ht="229.5">
      <c r="A68" s="45" t="s">
        <v>809</v>
      </c>
      <c r="B68" s="121" t="s">
        <v>1216</v>
      </c>
      <c r="C68" s="558"/>
      <c r="D68" s="134" t="s">
        <v>203</v>
      </c>
      <c r="E68" s="134" t="s">
        <v>220</v>
      </c>
      <c r="F68" s="134" t="s">
        <v>218</v>
      </c>
      <c r="G68" s="399">
        <f>G69</f>
        <v>183.3</v>
      </c>
      <c r="H68" s="399">
        <f>H69</f>
        <v>183.3</v>
      </c>
      <c r="I68" s="218"/>
    </row>
    <row r="69" spans="1:9">
      <c r="A69" s="135" t="s">
        <v>350</v>
      </c>
      <c r="B69" s="121" t="s">
        <v>1216</v>
      </c>
      <c r="C69" s="688" t="s">
        <v>351</v>
      </c>
      <c r="D69" s="134" t="s">
        <v>203</v>
      </c>
      <c r="E69" s="134" t="s">
        <v>220</v>
      </c>
      <c r="F69" s="134" t="s">
        <v>218</v>
      </c>
      <c r="G69" s="399">
        <f>'пр.11 2021-2022г'!G207</f>
        <v>183.3</v>
      </c>
      <c r="H69" s="399">
        <f>'пр.11 2021-2022г'!H207</f>
        <v>183.3</v>
      </c>
      <c r="I69" s="218"/>
    </row>
    <row r="70" spans="1:9" ht="38.25">
      <c r="A70" s="139" t="s">
        <v>275</v>
      </c>
      <c r="B70" s="129" t="s">
        <v>563</v>
      </c>
      <c r="C70" s="129" t="s">
        <v>413</v>
      </c>
      <c r="D70" s="134" t="s">
        <v>203</v>
      </c>
      <c r="E70" s="134" t="s">
        <v>223</v>
      </c>
      <c r="F70" s="134" t="s">
        <v>215</v>
      </c>
      <c r="G70" s="146">
        <f>'пр.11 2021-2022г'!G222</f>
        <v>150</v>
      </c>
      <c r="H70" s="146">
        <f>'пр.11 2021-2022г'!H222</f>
        <v>150</v>
      </c>
      <c r="I70" s="218"/>
    </row>
    <row r="71" spans="1:9">
      <c r="A71" s="618" t="s">
        <v>736</v>
      </c>
      <c r="B71" s="129" t="s">
        <v>563</v>
      </c>
      <c r="C71" s="129" t="s">
        <v>735</v>
      </c>
      <c r="D71" s="134" t="s">
        <v>203</v>
      </c>
      <c r="E71" s="134" t="s">
        <v>223</v>
      </c>
      <c r="F71" s="134" t="s">
        <v>215</v>
      </c>
      <c r="G71" s="146">
        <f>'пр.11 2021-2022г'!G223</f>
        <v>150</v>
      </c>
      <c r="H71" s="146">
        <f>'пр.11 2021-2022г'!H223</f>
        <v>150</v>
      </c>
      <c r="I71" s="218"/>
    </row>
    <row r="72" spans="1:9">
      <c r="A72" s="135" t="s">
        <v>350</v>
      </c>
      <c r="B72" s="129" t="s">
        <v>563</v>
      </c>
      <c r="C72" s="129" t="s">
        <v>351</v>
      </c>
      <c r="D72" s="134" t="s">
        <v>203</v>
      </c>
      <c r="E72" s="134" t="s">
        <v>223</v>
      </c>
      <c r="F72" s="134" t="s">
        <v>218</v>
      </c>
      <c r="G72" s="146">
        <f>'пр.11 2021-2022г'!G234</f>
        <v>4430.4098599999998</v>
      </c>
      <c r="H72" s="146">
        <f>'пр.11 2021-2022г'!H234</f>
        <v>4430.4098599999998</v>
      </c>
      <c r="I72" s="218"/>
    </row>
    <row r="73" spans="1:9" ht="25.5">
      <c r="A73" s="68" t="s">
        <v>795</v>
      </c>
      <c r="B73" s="637" t="s">
        <v>798</v>
      </c>
      <c r="C73" s="129"/>
      <c r="D73" s="134" t="s">
        <v>203</v>
      </c>
      <c r="E73" s="134" t="s">
        <v>223</v>
      </c>
      <c r="F73" s="134" t="s">
        <v>218</v>
      </c>
      <c r="G73" s="146">
        <f>G74</f>
        <v>7519.6</v>
      </c>
      <c r="H73" s="146">
        <f t="shared" ref="H73" si="11">H74</f>
        <v>7519.6</v>
      </c>
      <c r="I73" s="218"/>
    </row>
    <row r="74" spans="1:9">
      <c r="A74" s="135" t="s">
        <v>348</v>
      </c>
      <c r="B74" s="638" t="s">
        <v>798</v>
      </c>
      <c r="C74" s="129" t="s">
        <v>421</v>
      </c>
      <c r="D74" s="134" t="s">
        <v>203</v>
      </c>
      <c r="E74" s="134" t="s">
        <v>223</v>
      </c>
      <c r="F74" s="134" t="s">
        <v>218</v>
      </c>
      <c r="G74" s="146">
        <f>'пр.11 2021-2022г'!G236</f>
        <v>7519.6</v>
      </c>
      <c r="H74" s="146">
        <f>'пр.11 2021-2022г'!H236</f>
        <v>7519.6</v>
      </c>
      <c r="I74" s="218"/>
    </row>
    <row r="75" spans="1:9" ht="38.25">
      <c r="A75" s="68" t="s">
        <v>810</v>
      </c>
      <c r="B75" s="637" t="s">
        <v>798</v>
      </c>
      <c r="C75" s="129"/>
      <c r="D75" s="134" t="s">
        <v>203</v>
      </c>
      <c r="E75" s="134" t="s">
        <v>223</v>
      </c>
      <c r="F75" s="134" t="s">
        <v>218</v>
      </c>
      <c r="G75" s="146">
        <f>G76</f>
        <v>3853.08</v>
      </c>
      <c r="H75" s="146">
        <f t="shared" ref="H75" si="12">H76</f>
        <v>3853.08</v>
      </c>
      <c r="I75" s="218"/>
    </row>
    <row r="76" spans="1:9">
      <c r="A76" s="135" t="s">
        <v>348</v>
      </c>
      <c r="B76" s="638" t="s">
        <v>798</v>
      </c>
      <c r="C76" s="129" t="s">
        <v>421</v>
      </c>
      <c r="D76" s="134" t="s">
        <v>203</v>
      </c>
      <c r="E76" s="134" t="s">
        <v>223</v>
      </c>
      <c r="F76" s="134" t="s">
        <v>218</v>
      </c>
      <c r="G76" s="146">
        <f>'пр.11 2021-2022г'!G238</f>
        <v>3853.08</v>
      </c>
      <c r="H76" s="146">
        <f>'пр.11 2021-2022г'!H238</f>
        <v>3853.08</v>
      </c>
      <c r="I76" s="218"/>
    </row>
    <row r="77" spans="1:9" ht="38.25">
      <c r="A77" s="338" t="s">
        <v>838</v>
      </c>
      <c r="B77" s="232" t="s">
        <v>594</v>
      </c>
      <c r="C77" s="232"/>
      <c r="D77" s="232" t="s">
        <v>203</v>
      </c>
      <c r="E77" s="232"/>
      <c r="F77" s="232"/>
      <c r="G77" s="359">
        <f>G78+G80</f>
        <v>966.75</v>
      </c>
      <c r="H77" s="359">
        <f t="shared" ref="H77" si="13">H78</f>
        <v>0</v>
      </c>
      <c r="I77" s="218"/>
    </row>
    <row r="78" spans="1:9" ht="25.5">
      <c r="A78" s="338" t="s">
        <v>1011</v>
      </c>
      <c r="B78" s="232" t="s">
        <v>594</v>
      </c>
      <c r="C78" s="232"/>
      <c r="D78" s="232" t="s">
        <v>203</v>
      </c>
      <c r="E78" s="232" t="s">
        <v>224</v>
      </c>
      <c r="F78" s="232" t="s">
        <v>225</v>
      </c>
      <c r="G78" s="359">
        <f>G79</f>
        <v>750</v>
      </c>
      <c r="H78" s="359">
        <f t="shared" ref="H78" si="14">H79</f>
        <v>0</v>
      </c>
      <c r="I78" s="218"/>
    </row>
    <row r="79" spans="1:9" ht="51">
      <c r="A79" s="139" t="s">
        <v>569</v>
      </c>
      <c r="B79" s="129" t="s">
        <v>542</v>
      </c>
      <c r="C79" s="129" t="s">
        <v>515</v>
      </c>
      <c r="D79" s="134" t="s">
        <v>203</v>
      </c>
      <c r="E79" s="134" t="s">
        <v>224</v>
      </c>
      <c r="F79" s="134" t="s">
        <v>225</v>
      </c>
      <c r="G79" s="146">
        <f>'пр.11 2021-2022г'!G141</f>
        <v>750</v>
      </c>
      <c r="H79" s="146">
        <f>'пр.11 2021-2022г'!H141</f>
        <v>0</v>
      </c>
      <c r="I79" s="218"/>
    </row>
    <row r="80" spans="1:9" ht="12.75" customHeight="1">
      <c r="A80" s="139" t="s">
        <v>1023</v>
      </c>
      <c r="B80" s="129" t="s">
        <v>992</v>
      </c>
      <c r="C80" s="129"/>
      <c r="D80" s="134" t="s">
        <v>203</v>
      </c>
      <c r="E80" s="134"/>
      <c r="F80" s="134"/>
      <c r="G80" s="146">
        <f>G81</f>
        <v>216.75</v>
      </c>
      <c r="H80" s="146">
        <v>0</v>
      </c>
      <c r="I80" s="218"/>
    </row>
    <row r="81" spans="1:11" ht="76.5">
      <c r="A81" s="660" t="s">
        <v>841</v>
      </c>
      <c r="B81" s="121" t="s">
        <v>999</v>
      </c>
      <c r="C81" s="129"/>
      <c r="D81" s="134" t="s">
        <v>203</v>
      </c>
      <c r="E81" s="134" t="s">
        <v>228</v>
      </c>
      <c r="F81" s="134" t="s">
        <v>218</v>
      </c>
      <c r="G81" s="146">
        <f>G82</f>
        <v>216.75</v>
      </c>
      <c r="H81" s="146">
        <v>0</v>
      </c>
      <c r="I81" s="218"/>
    </row>
    <row r="82" spans="1:11">
      <c r="A82" s="823" t="s">
        <v>411</v>
      </c>
      <c r="B82" s="121" t="s">
        <v>999</v>
      </c>
      <c r="C82" s="129" t="s">
        <v>422</v>
      </c>
      <c r="D82" s="134" t="s">
        <v>203</v>
      </c>
      <c r="E82" s="134" t="s">
        <v>228</v>
      </c>
      <c r="F82" s="134" t="s">
        <v>218</v>
      </c>
      <c r="G82" s="146">
        <f>'пр.11 2021-2022г'!G263</f>
        <v>216.75</v>
      </c>
      <c r="H82" s="146">
        <v>0</v>
      </c>
      <c r="I82" s="218"/>
    </row>
    <row r="83" spans="1:11" ht="38.25">
      <c r="A83" s="142" t="s">
        <v>769</v>
      </c>
      <c r="B83" s="132" t="s">
        <v>975</v>
      </c>
      <c r="C83" s="132"/>
      <c r="D83" s="132" t="s">
        <v>200</v>
      </c>
      <c r="E83" s="232"/>
      <c r="F83" s="232"/>
      <c r="G83" s="359">
        <f>G84+G87</f>
        <v>25063.094000000001</v>
      </c>
      <c r="H83" s="359">
        <f>H84+H87</f>
        <v>92</v>
      </c>
      <c r="I83" s="218"/>
    </row>
    <row r="84" spans="1:11" ht="25.5">
      <c r="A84" s="556" t="s">
        <v>1007</v>
      </c>
      <c r="B84" s="558" t="s">
        <v>1024</v>
      </c>
      <c r="C84" s="558"/>
      <c r="D84" s="121" t="s">
        <v>200</v>
      </c>
      <c r="E84" s="129" t="s">
        <v>215</v>
      </c>
      <c r="F84" s="129" t="s">
        <v>221</v>
      </c>
      <c r="G84" s="559">
        <f>G85+G86</f>
        <v>1015.5940000000001</v>
      </c>
      <c r="H84" s="559">
        <f t="shared" ref="H84" si="15">H85+H86</f>
        <v>0</v>
      </c>
      <c r="I84" s="218"/>
    </row>
    <row r="85" spans="1:11" ht="25.5">
      <c r="A85" s="220" t="s">
        <v>418</v>
      </c>
      <c r="B85" s="129" t="s">
        <v>979</v>
      </c>
      <c r="C85" s="688" t="s">
        <v>419</v>
      </c>
      <c r="D85" s="121" t="s">
        <v>200</v>
      </c>
      <c r="E85" s="129" t="s">
        <v>215</v>
      </c>
      <c r="F85" s="129" t="s">
        <v>221</v>
      </c>
      <c r="G85" s="399">
        <f>'пр.11 2021-2022г'!G43</f>
        <v>738.34400000000005</v>
      </c>
      <c r="H85" s="399">
        <f>'пр.11 2021-2022г'!H43</f>
        <v>0</v>
      </c>
      <c r="I85" s="218"/>
    </row>
    <row r="86" spans="1:11" ht="38.25">
      <c r="A86" s="139" t="s">
        <v>275</v>
      </c>
      <c r="B86" s="129" t="s">
        <v>979</v>
      </c>
      <c r="C86" s="353">
        <v>244</v>
      </c>
      <c r="D86" s="121" t="s">
        <v>200</v>
      </c>
      <c r="E86" s="129" t="s">
        <v>215</v>
      </c>
      <c r="F86" s="129" t="s">
        <v>221</v>
      </c>
      <c r="G86" s="352">
        <f>'пр.11 2021-2022г'!G44</f>
        <v>277.25</v>
      </c>
      <c r="H86" s="146">
        <f>'пр.11 2021-2022г'!H44</f>
        <v>0</v>
      </c>
      <c r="I86" s="218"/>
    </row>
    <row r="87" spans="1:11" ht="25.5">
      <c r="A87" s="556" t="s">
        <v>1008</v>
      </c>
      <c r="B87" s="688" t="s">
        <v>1065</v>
      </c>
      <c r="C87" s="353"/>
      <c r="D87" s="121" t="s">
        <v>200</v>
      </c>
      <c r="E87" s="129" t="s">
        <v>228</v>
      </c>
      <c r="F87" s="129" t="s">
        <v>513</v>
      </c>
      <c r="G87" s="352">
        <f>G88+G90</f>
        <v>24047.5</v>
      </c>
      <c r="H87" s="352">
        <f>H88+H90</f>
        <v>92</v>
      </c>
      <c r="I87" s="218"/>
    </row>
    <row r="88" spans="1:11" ht="25.5">
      <c r="A88" s="136" t="s">
        <v>410</v>
      </c>
      <c r="B88" s="129" t="s">
        <v>1076</v>
      </c>
      <c r="C88" s="129"/>
      <c r="D88" s="129" t="s">
        <v>200</v>
      </c>
      <c r="E88" s="129" t="s">
        <v>228</v>
      </c>
      <c r="F88" s="129" t="s">
        <v>215</v>
      </c>
      <c r="G88" s="145">
        <f>G89</f>
        <v>92</v>
      </c>
      <c r="H88" s="145">
        <f>H89</f>
        <v>92</v>
      </c>
      <c r="I88" s="218"/>
    </row>
    <row r="89" spans="1:11" s="69" customFormat="1">
      <c r="A89" s="135" t="s">
        <v>266</v>
      </c>
      <c r="B89" s="121" t="s">
        <v>1076</v>
      </c>
      <c r="C89" s="134" t="s">
        <v>56</v>
      </c>
      <c r="D89" s="134" t="s">
        <v>200</v>
      </c>
      <c r="E89" s="134" t="s">
        <v>228</v>
      </c>
      <c r="F89" s="134" t="s">
        <v>215</v>
      </c>
      <c r="G89" s="146">
        <f>'пр.11 2021-2022г'!G57</f>
        <v>92</v>
      </c>
      <c r="H89" s="146">
        <f>G89</f>
        <v>92</v>
      </c>
      <c r="I89" s="218"/>
    </row>
    <row r="90" spans="1:11" ht="38.25">
      <c r="A90" s="556" t="s">
        <v>976</v>
      </c>
      <c r="B90" s="489" t="s">
        <v>1077</v>
      </c>
      <c r="C90" s="134"/>
      <c r="D90" s="134" t="s">
        <v>200</v>
      </c>
      <c r="E90" s="134" t="s">
        <v>228</v>
      </c>
      <c r="F90" s="134" t="s">
        <v>218</v>
      </c>
      <c r="G90" s="146">
        <f>G91</f>
        <v>23955.5</v>
      </c>
      <c r="H90" s="146">
        <f>H91</f>
        <v>0</v>
      </c>
      <c r="I90" s="218"/>
    </row>
    <row r="91" spans="1:11">
      <c r="A91" s="135" t="s">
        <v>411</v>
      </c>
      <c r="B91" s="489" t="s">
        <v>1077</v>
      </c>
      <c r="C91" s="134" t="s">
        <v>422</v>
      </c>
      <c r="D91" s="134" t="s">
        <v>200</v>
      </c>
      <c r="E91" s="134" t="s">
        <v>228</v>
      </c>
      <c r="F91" s="134" t="s">
        <v>218</v>
      </c>
      <c r="G91" s="146">
        <f>'пр.11 2021-2022г'!G65</f>
        <v>23955.5</v>
      </c>
      <c r="H91" s="146">
        <f>'пр. 10 2020г'!H65</f>
        <v>0</v>
      </c>
      <c r="I91" s="218"/>
    </row>
    <row r="92" spans="1:11" ht="38.25">
      <c r="A92" s="499" t="s">
        <v>770</v>
      </c>
      <c r="B92" s="232" t="s">
        <v>933</v>
      </c>
      <c r="C92" s="232"/>
      <c r="D92" s="232" t="s">
        <v>117</v>
      </c>
      <c r="E92" s="232"/>
      <c r="F92" s="232"/>
      <c r="G92" s="359">
        <f>G93+G103+G125+G137+G148+G151</f>
        <v>673140.31405000004</v>
      </c>
      <c r="H92" s="359">
        <f>H93+H103+H125+H137+H148+H151</f>
        <v>0</v>
      </c>
      <c r="I92" s="218"/>
      <c r="K92" s="647"/>
    </row>
    <row r="93" spans="1:11" ht="25.5">
      <c r="A93" s="356" t="s">
        <v>462</v>
      </c>
      <c r="B93" s="703" t="s">
        <v>934</v>
      </c>
      <c r="C93" s="354"/>
      <c r="D93" s="354" t="s">
        <v>117</v>
      </c>
      <c r="E93" s="354" t="s">
        <v>1048</v>
      </c>
      <c r="F93" s="354" t="s">
        <v>1049</v>
      </c>
      <c r="G93" s="355">
        <f>G94</f>
        <v>112476.03624</v>
      </c>
      <c r="H93" s="355">
        <f t="shared" ref="H93" si="16">H94</f>
        <v>0</v>
      </c>
      <c r="I93" s="218"/>
    </row>
    <row r="94" spans="1:11" ht="51">
      <c r="A94" s="705" t="s">
        <v>935</v>
      </c>
      <c r="B94" s="704" t="s">
        <v>936</v>
      </c>
      <c r="C94" s="354"/>
      <c r="D94" s="354" t="s">
        <v>117</v>
      </c>
      <c r="E94" s="354" t="s">
        <v>1048</v>
      </c>
      <c r="F94" s="354" t="s">
        <v>1049</v>
      </c>
      <c r="G94" s="355">
        <f>G95+G98+G101</f>
        <v>112476.03624</v>
      </c>
      <c r="H94" s="355">
        <f t="shared" ref="H94" si="17">H95+H98+H101</f>
        <v>0</v>
      </c>
      <c r="I94" s="218"/>
    </row>
    <row r="95" spans="1:11" ht="25.5">
      <c r="A95" s="137" t="s">
        <v>395</v>
      </c>
      <c r="B95" s="129" t="s">
        <v>937</v>
      </c>
      <c r="C95" s="129"/>
      <c r="D95" s="129" t="s">
        <v>117</v>
      </c>
      <c r="E95" s="129" t="s">
        <v>217</v>
      </c>
      <c r="F95" s="129" t="s">
        <v>215</v>
      </c>
      <c r="G95" s="145">
        <f>G96+G97</f>
        <v>43322.56624</v>
      </c>
      <c r="H95" s="145">
        <f t="shared" ref="H95" si="18">H96+H97</f>
        <v>0</v>
      </c>
      <c r="I95" s="218"/>
    </row>
    <row r="96" spans="1:11">
      <c r="A96" s="135" t="s">
        <v>269</v>
      </c>
      <c r="B96" s="129" t="s">
        <v>937</v>
      </c>
      <c r="C96" s="129" t="s">
        <v>420</v>
      </c>
      <c r="D96" s="129" t="s">
        <v>117</v>
      </c>
      <c r="E96" s="129" t="s">
        <v>217</v>
      </c>
      <c r="F96" s="129" t="s">
        <v>215</v>
      </c>
      <c r="G96" s="145">
        <f>'пр.11 2021-2022г'!G278</f>
        <v>31196.956999999999</v>
      </c>
      <c r="H96" s="145">
        <f>'пр.11 2021-2022г'!H278</f>
        <v>0</v>
      </c>
      <c r="I96" s="218"/>
    </row>
    <row r="97" spans="1:10">
      <c r="A97" s="135" t="s">
        <v>348</v>
      </c>
      <c r="B97" s="129" t="s">
        <v>937</v>
      </c>
      <c r="C97" s="129" t="s">
        <v>421</v>
      </c>
      <c r="D97" s="129" t="s">
        <v>117</v>
      </c>
      <c r="E97" s="129" t="s">
        <v>217</v>
      </c>
      <c r="F97" s="129" t="s">
        <v>215</v>
      </c>
      <c r="G97" s="145">
        <f>'пр.11 2021-2022г'!G279</f>
        <v>12125.60924</v>
      </c>
      <c r="H97" s="145">
        <f>'пр.11 2021-2022г'!H279</f>
        <v>0</v>
      </c>
      <c r="I97" s="218"/>
    </row>
    <row r="98" spans="1:10" ht="25.5">
      <c r="A98" s="137" t="s">
        <v>356</v>
      </c>
      <c r="B98" s="130" t="s">
        <v>938</v>
      </c>
      <c r="C98" s="351"/>
      <c r="D98" s="129" t="s">
        <v>117</v>
      </c>
      <c r="E98" s="129" t="s">
        <v>217</v>
      </c>
      <c r="F98" s="129" t="s">
        <v>215</v>
      </c>
      <c r="G98" s="145">
        <f>G99+G100</f>
        <v>65803.47</v>
      </c>
      <c r="H98" s="145">
        <f t="shared" ref="H98" si="19">H99+H100</f>
        <v>0</v>
      </c>
      <c r="I98" s="218"/>
      <c r="J98" s="217"/>
    </row>
    <row r="99" spans="1:10">
      <c r="A99" s="136" t="s">
        <v>271</v>
      </c>
      <c r="B99" s="130" t="s">
        <v>938</v>
      </c>
      <c r="C99" s="129" t="s">
        <v>268</v>
      </c>
      <c r="D99" s="129" t="s">
        <v>117</v>
      </c>
      <c r="E99" s="129" t="s">
        <v>217</v>
      </c>
      <c r="F99" s="129" t="s">
        <v>215</v>
      </c>
      <c r="G99" s="145">
        <f>'пр.11 2021-2022г'!G281</f>
        <v>38889.5</v>
      </c>
      <c r="H99" s="145">
        <f>'пр.11 2021-2022г'!H281</f>
        <v>0</v>
      </c>
      <c r="I99" s="218"/>
      <c r="J99" s="151"/>
    </row>
    <row r="100" spans="1:10">
      <c r="A100" s="136" t="s">
        <v>350</v>
      </c>
      <c r="B100" s="130" t="s">
        <v>938</v>
      </c>
      <c r="C100" s="129" t="s">
        <v>351</v>
      </c>
      <c r="D100" s="129" t="s">
        <v>117</v>
      </c>
      <c r="E100" s="129" t="s">
        <v>217</v>
      </c>
      <c r="F100" s="129" t="s">
        <v>215</v>
      </c>
      <c r="G100" s="145">
        <f>'пр.11 2021-2022г'!G282</f>
        <v>26913.97</v>
      </c>
      <c r="H100" s="145">
        <f>'пр.11 2021-2022г'!H282</f>
        <v>0</v>
      </c>
      <c r="I100" s="218"/>
      <c r="J100" s="151"/>
    </row>
    <row r="101" spans="1:10" ht="229.5">
      <c r="A101" s="45" t="s">
        <v>809</v>
      </c>
      <c r="B101" s="129" t="s">
        <v>1025</v>
      </c>
      <c r="C101" s="129"/>
      <c r="D101" s="129" t="s">
        <v>117</v>
      </c>
      <c r="E101" s="129" t="s">
        <v>220</v>
      </c>
      <c r="F101" s="129" t="s">
        <v>218</v>
      </c>
      <c r="G101" s="145">
        <f>G102</f>
        <v>3350</v>
      </c>
      <c r="H101" s="145">
        <f>H102</f>
        <v>0</v>
      </c>
      <c r="I101" s="218"/>
      <c r="J101" s="151"/>
    </row>
    <row r="102" spans="1:10">
      <c r="A102" s="136" t="s">
        <v>271</v>
      </c>
      <c r="B102" s="129" t="s">
        <v>1025</v>
      </c>
      <c r="C102" s="129" t="s">
        <v>268</v>
      </c>
      <c r="D102" s="129" t="s">
        <v>117</v>
      </c>
      <c r="E102" s="129" t="s">
        <v>220</v>
      </c>
      <c r="F102" s="129" t="s">
        <v>218</v>
      </c>
      <c r="G102" s="145">
        <f>'пр.11 2021-2022г'!G437</f>
        <v>3350</v>
      </c>
      <c r="H102" s="145">
        <f>'пр.11 2021-2022г'!H437</f>
        <v>0</v>
      </c>
      <c r="I102" s="218"/>
      <c r="J102" s="151"/>
    </row>
    <row r="103" spans="1:10" ht="25.5">
      <c r="A103" s="356" t="s">
        <v>459</v>
      </c>
      <c r="B103" s="706" t="s">
        <v>1028</v>
      </c>
      <c r="C103" s="357"/>
      <c r="D103" s="354" t="s">
        <v>117</v>
      </c>
      <c r="E103" s="354" t="s">
        <v>217</v>
      </c>
      <c r="F103" s="354" t="s">
        <v>216</v>
      </c>
      <c r="G103" s="355">
        <f>G104</f>
        <v>475865.82181000005</v>
      </c>
      <c r="H103" s="355">
        <f t="shared" ref="H103" si="20">H104</f>
        <v>0</v>
      </c>
      <c r="I103" s="651"/>
      <c r="J103" s="151"/>
    </row>
    <row r="104" spans="1:10" ht="51">
      <c r="A104" s="356" t="s">
        <v>939</v>
      </c>
      <c r="B104" s="706" t="s">
        <v>1027</v>
      </c>
      <c r="C104" s="357"/>
      <c r="D104" s="354"/>
      <c r="E104" s="354"/>
      <c r="F104" s="354"/>
      <c r="G104" s="355">
        <f>G105+G107+G109+G111+G113+G115+G117+G119+G121+G123</f>
        <v>475865.82181000005</v>
      </c>
      <c r="H104" s="355">
        <f t="shared" ref="H104" si="21">H105+H107+H109+H111+H113+H115+H117+H119+H121</f>
        <v>0</v>
      </c>
      <c r="I104" s="651"/>
      <c r="J104" s="151"/>
    </row>
    <row r="105" spans="1:10" ht="25.5">
      <c r="A105" s="68" t="s">
        <v>395</v>
      </c>
      <c r="B105" s="129" t="s">
        <v>1026</v>
      </c>
      <c r="C105" s="129"/>
      <c r="D105" s="129" t="s">
        <v>117</v>
      </c>
      <c r="E105" s="129" t="s">
        <v>217</v>
      </c>
      <c r="F105" s="129" t="s">
        <v>216</v>
      </c>
      <c r="G105" s="145">
        <f>G106</f>
        <v>59986.791810000002</v>
      </c>
      <c r="H105" s="145">
        <f>H106</f>
        <v>0</v>
      </c>
      <c r="I105" s="218"/>
      <c r="J105" s="151"/>
    </row>
    <row r="106" spans="1:10">
      <c r="A106" s="135" t="s">
        <v>269</v>
      </c>
      <c r="B106" s="129" t="s">
        <v>1026</v>
      </c>
      <c r="C106" s="129" t="s">
        <v>420</v>
      </c>
      <c r="D106" s="129" t="s">
        <v>117</v>
      </c>
      <c r="E106" s="129" t="s">
        <v>217</v>
      </c>
      <c r="F106" s="129" t="s">
        <v>216</v>
      </c>
      <c r="G106" s="145">
        <f>'пр.11 2021-2022г'!G295</f>
        <v>59986.791810000002</v>
      </c>
      <c r="H106" s="145">
        <f>'пр.11 2021-2022г'!H295</f>
        <v>0</v>
      </c>
      <c r="I106" s="218"/>
      <c r="J106" s="151"/>
    </row>
    <row r="107" spans="1:10" ht="51">
      <c r="A107" s="137" t="s">
        <v>347</v>
      </c>
      <c r="B107" s="129" t="s">
        <v>1029</v>
      </c>
      <c r="C107" s="129"/>
      <c r="D107" s="129" t="s">
        <v>117</v>
      </c>
      <c r="E107" s="129" t="s">
        <v>217</v>
      </c>
      <c r="F107" s="129" t="s">
        <v>216</v>
      </c>
      <c r="G107" s="145">
        <f>G108</f>
        <v>242687.3</v>
      </c>
      <c r="H107" s="145">
        <f>H108</f>
        <v>0</v>
      </c>
      <c r="I107" s="218"/>
    </row>
    <row r="108" spans="1:10">
      <c r="A108" s="136" t="s">
        <v>271</v>
      </c>
      <c r="B108" s="129" t="s">
        <v>1029</v>
      </c>
      <c r="C108" s="129" t="s">
        <v>268</v>
      </c>
      <c r="D108" s="129" t="s">
        <v>117</v>
      </c>
      <c r="E108" s="129" t="s">
        <v>217</v>
      </c>
      <c r="F108" s="129" t="s">
        <v>216</v>
      </c>
      <c r="G108" s="145">
        <f>'пр.11 2021-2022г'!G299</f>
        <v>242687.3</v>
      </c>
      <c r="H108" s="145">
        <f>'пр.11 2021-2022г'!H299</f>
        <v>0</v>
      </c>
      <c r="I108" s="218"/>
    </row>
    <row r="109" spans="1:10" ht="25.5">
      <c r="A109" s="68" t="s">
        <v>356</v>
      </c>
      <c r="B109" s="121" t="s">
        <v>1030</v>
      </c>
      <c r="C109" s="129"/>
      <c r="D109" s="129" t="s">
        <v>117</v>
      </c>
      <c r="E109" s="129" t="s">
        <v>217</v>
      </c>
      <c r="F109" s="129" t="s">
        <v>216</v>
      </c>
      <c r="G109" s="145">
        <f>G110</f>
        <v>8241.33</v>
      </c>
      <c r="H109" s="145">
        <f>H110</f>
        <v>0</v>
      </c>
      <c r="I109" s="218"/>
    </row>
    <row r="110" spans="1:10">
      <c r="A110" s="136" t="s">
        <v>271</v>
      </c>
      <c r="B110" s="121" t="s">
        <v>1030</v>
      </c>
      <c r="C110" s="129" t="s">
        <v>268</v>
      </c>
      <c r="D110" s="129" t="s">
        <v>117</v>
      </c>
      <c r="E110" s="129" t="s">
        <v>217</v>
      </c>
      <c r="F110" s="129" t="s">
        <v>216</v>
      </c>
      <c r="G110" s="145">
        <f>'пр.11 2021-2022г'!G297</f>
        <v>8241.33</v>
      </c>
      <c r="H110" s="145">
        <f>'пр.11 2021-2022г'!H297</f>
        <v>0</v>
      </c>
      <c r="I110" s="218"/>
    </row>
    <row r="111" spans="1:10" ht="25.5">
      <c r="A111" s="137" t="s">
        <v>242</v>
      </c>
      <c r="B111" s="129" t="s">
        <v>1031</v>
      </c>
      <c r="C111" s="129"/>
      <c r="D111" s="129" t="s">
        <v>117</v>
      </c>
      <c r="E111" s="129" t="s">
        <v>217</v>
      </c>
      <c r="F111" s="129" t="s">
        <v>216</v>
      </c>
      <c r="G111" s="145">
        <f>G112</f>
        <v>5692.5</v>
      </c>
      <c r="H111" s="145">
        <f>H112</f>
        <v>0</v>
      </c>
      <c r="I111" s="218"/>
    </row>
    <row r="112" spans="1:10">
      <c r="A112" s="136" t="s">
        <v>271</v>
      </c>
      <c r="B112" s="129" t="s">
        <v>1031</v>
      </c>
      <c r="C112" s="129" t="s">
        <v>268</v>
      </c>
      <c r="D112" s="129" t="s">
        <v>117</v>
      </c>
      <c r="E112" s="129" t="s">
        <v>217</v>
      </c>
      <c r="F112" s="129" t="s">
        <v>216</v>
      </c>
      <c r="G112" s="145">
        <f>'пр.11 2021-2022г'!G301</f>
        <v>5692.5</v>
      </c>
      <c r="H112" s="145">
        <f>'пр.11 2021-2022г'!H301</f>
        <v>0</v>
      </c>
      <c r="I112" s="218"/>
    </row>
    <row r="113" spans="1:9" ht="51">
      <c r="A113" s="136" t="s">
        <v>741</v>
      </c>
      <c r="B113" s="121" t="s">
        <v>1032</v>
      </c>
      <c r="C113" s="129"/>
      <c r="D113" s="129" t="s">
        <v>117</v>
      </c>
      <c r="E113" s="129" t="s">
        <v>217</v>
      </c>
      <c r="F113" s="129" t="s">
        <v>216</v>
      </c>
      <c r="G113" s="145">
        <f>G114</f>
        <v>481.5</v>
      </c>
      <c r="H113" s="145">
        <f>H114</f>
        <v>0</v>
      </c>
      <c r="I113" s="218"/>
    </row>
    <row r="114" spans="1:9">
      <c r="A114" s="136" t="s">
        <v>271</v>
      </c>
      <c r="B114" s="121" t="s">
        <v>1032</v>
      </c>
      <c r="C114" s="129" t="s">
        <v>268</v>
      </c>
      <c r="D114" s="129" t="s">
        <v>117</v>
      </c>
      <c r="E114" s="129" t="s">
        <v>217</v>
      </c>
      <c r="F114" s="129" t="s">
        <v>216</v>
      </c>
      <c r="G114" s="145">
        <f>'пр.11 2021-2022г'!G307</f>
        <v>481.5</v>
      </c>
      <c r="H114" s="145">
        <f>'пр.11 2021-2022г'!H307</f>
        <v>0</v>
      </c>
      <c r="I114" s="218"/>
    </row>
    <row r="115" spans="1:9" ht="51">
      <c r="A115" s="135" t="s">
        <v>806</v>
      </c>
      <c r="B115" s="121" t="s">
        <v>1033</v>
      </c>
      <c r="C115" s="129"/>
      <c r="D115" s="129" t="s">
        <v>117</v>
      </c>
      <c r="E115" s="129" t="s">
        <v>217</v>
      </c>
      <c r="F115" s="129" t="s">
        <v>216</v>
      </c>
      <c r="G115" s="145">
        <f>G116</f>
        <v>86078.6</v>
      </c>
      <c r="H115" s="145">
        <f>H116</f>
        <v>0</v>
      </c>
      <c r="I115" s="218"/>
    </row>
    <row r="116" spans="1:9">
      <c r="A116" s="136" t="s">
        <v>271</v>
      </c>
      <c r="B116" s="121" t="s">
        <v>1033</v>
      </c>
      <c r="C116" s="129" t="s">
        <v>268</v>
      </c>
      <c r="D116" s="129" t="s">
        <v>117</v>
      </c>
      <c r="E116" s="129" t="s">
        <v>217</v>
      </c>
      <c r="F116" s="129" t="s">
        <v>216</v>
      </c>
      <c r="G116" s="145">
        <f>'пр.11 2021-2022г'!G309</f>
        <v>86078.6</v>
      </c>
      <c r="H116" s="145">
        <f>'пр.11 2021-2022г'!H309</f>
        <v>0</v>
      </c>
      <c r="I116" s="218"/>
    </row>
    <row r="117" spans="1:9" ht="51">
      <c r="A117" s="135" t="s">
        <v>874</v>
      </c>
      <c r="B117" s="121" t="s">
        <v>1034</v>
      </c>
      <c r="C117" s="351"/>
      <c r="D117" s="129" t="s">
        <v>117</v>
      </c>
      <c r="E117" s="129" t="s">
        <v>217</v>
      </c>
      <c r="F117" s="129" t="s">
        <v>216</v>
      </c>
      <c r="G117" s="145">
        <f>G118</f>
        <v>2403.1</v>
      </c>
      <c r="H117" s="145">
        <f>H118</f>
        <v>0</v>
      </c>
      <c r="I117" s="218"/>
    </row>
    <row r="118" spans="1:9">
      <c r="A118" s="136" t="s">
        <v>271</v>
      </c>
      <c r="B118" s="121" t="s">
        <v>1034</v>
      </c>
      <c r="C118" s="129" t="s">
        <v>268</v>
      </c>
      <c r="D118" s="129" t="s">
        <v>117</v>
      </c>
      <c r="E118" s="129" t="s">
        <v>217</v>
      </c>
      <c r="F118" s="129" t="s">
        <v>216</v>
      </c>
      <c r="G118" s="145">
        <f>'пр.11 2021-2022г'!G305</f>
        <v>2403.1</v>
      </c>
      <c r="H118" s="145">
        <f>'пр.11 2021-2022г'!H305</f>
        <v>0</v>
      </c>
      <c r="I118" s="218"/>
    </row>
    <row r="119" spans="1:9" ht="63.75">
      <c r="A119" s="135" t="s">
        <v>875</v>
      </c>
      <c r="B119" s="129" t="s">
        <v>1035</v>
      </c>
      <c r="C119" s="351"/>
      <c r="D119" s="129" t="s">
        <v>117</v>
      </c>
      <c r="E119" s="129" t="s">
        <v>217</v>
      </c>
      <c r="F119" s="129" t="s">
        <v>216</v>
      </c>
      <c r="G119" s="145">
        <f>G120</f>
        <v>5940.6</v>
      </c>
      <c r="H119" s="145">
        <f>H120</f>
        <v>0</v>
      </c>
      <c r="I119" s="218"/>
    </row>
    <row r="120" spans="1:9">
      <c r="A120" s="136" t="s">
        <v>271</v>
      </c>
      <c r="B120" s="129" t="s">
        <v>1035</v>
      </c>
      <c r="C120" s="129" t="s">
        <v>268</v>
      </c>
      <c r="D120" s="129" t="s">
        <v>117</v>
      </c>
      <c r="E120" s="129" t="s">
        <v>217</v>
      </c>
      <c r="F120" s="129" t="s">
        <v>216</v>
      </c>
      <c r="G120" s="145">
        <f>'пр.11 2021-2022г'!G303</f>
        <v>5940.6</v>
      </c>
      <c r="H120" s="145">
        <f>'пр.11 2021-2022г'!H303</f>
        <v>0</v>
      </c>
      <c r="I120" s="218"/>
    </row>
    <row r="121" spans="1:9" ht="51">
      <c r="A121" s="135" t="s">
        <v>877</v>
      </c>
      <c r="B121" s="129" t="s">
        <v>1036</v>
      </c>
      <c r="C121" s="351"/>
      <c r="D121" s="129" t="s">
        <v>117</v>
      </c>
      <c r="E121" s="129" t="s">
        <v>217</v>
      </c>
      <c r="F121" s="129" t="s">
        <v>216</v>
      </c>
      <c r="G121" s="145">
        <f>G122</f>
        <v>35035.199999999997</v>
      </c>
      <c r="H121" s="145">
        <f>H122</f>
        <v>0</v>
      </c>
      <c r="I121" s="218"/>
    </row>
    <row r="122" spans="1:9">
      <c r="A122" s="136" t="s">
        <v>271</v>
      </c>
      <c r="B122" s="129" t="s">
        <v>1036</v>
      </c>
      <c r="C122" s="129" t="s">
        <v>268</v>
      </c>
      <c r="D122" s="129" t="s">
        <v>117</v>
      </c>
      <c r="E122" s="129" t="s">
        <v>217</v>
      </c>
      <c r="F122" s="129" t="s">
        <v>216</v>
      </c>
      <c r="G122" s="145">
        <f>'пр.11 2021-2022г'!G311</f>
        <v>35035.199999999997</v>
      </c>
      <c r="H122" s="145">
        <f>'пр.11 2021-2022г'!H311</f>
        <v>0</v>
      </c>
      <c r="I122" s="218"/>
    </row>
    <row r="123" spans="1:9" ht="51">
      <c r="A123" s="135" t="s">
        <v>1223</v>
      </c>
      <c r="B123" s="121" t="s">
        <v>1225</v>
      </c>
      <c r="C123" s="351"/>
      <c r="D123" s="129" t="s">
        <v>117</v>
      </c>
      <c r="E123" s="129" t="s">
        <v>217</v>
      </c>
      <c r="F123" s="129" t="s">
        <v>216</v>
      </c>
      <c r="G123" s="145">
        <f>G124</f>
        <v>29318.9</v>
      </c>
      <c r="H123" s="145">
        <v>0</v>
      </c>
      <c r="I123" s="218"/>
    </row>
    <row r="124" spans="1:9">
      <c r="A124" s="135" t="s">
        <v>518</v>
      </c>
      <c r="B124" s="121" t="s">
        <v>1225</v>
      </c>
      <c r="C124" s="129" t="s">
        <v>268</v>
      </c>
      <c r="D124" s="129" t="s">
        <v>117</v>
      </c>
      <c r="E124" s="129" t="s">
        <v>217</v>
      </c>
      <c r="F124" s="129" t="s">
        <v>216</v>
      </c>
      <c r="G124" s="145">
        <f>'пр.11 2021-2022г'!G313</f>
        <v>29318.9</v>
      </c>
      <c r="H124" s="145">
        <v>0</v>
      </c>
      <c r="I124" s="218"/>
    </row>
    <row r="125" spans="1:9" ht="51">
      <c r="A125" s="356" t="s">
        <v>460</v>
      </c>
      <c r="B125" s="707" t="s">
        <v>940</v>
      </c>
      <c r="C125" s="357"/>
      <c r="D125" s="354" t="s">
        <v>117</v>
      </c>
      <c r="E125" s="354" t="s">
        <v>1048</v>
      </c>
      <c r="F125" s="354" t="s">
        <v>218</v>
      </c>
      <c r="G125" s="355">
        <f>G126</f>
        <v>19205.022000000001</v>
      </c>
      <c r="H125" s="355">
        <f t="shared" ref="H125" si="22">H126</f>
        <v>0</v>
      </c>
      <c r="I125" s="218"/>
    </row>
    <row r="126" spans="1:9" ht="38.25">
      <c r="A126" s="333" t="s">
        <v>388</v>
      </c>
      <c r="B126" s="688" t="s">
        <v>953</v>
      </c>
      <c r="C126" s="688"/>
      <c r="D126" s="129" t="s">
        <v>117</v>
      </c>
      <c r="E126" s="129" t="s">
        <v>217</v>
      </c>
      <c r="F126" s="129" t="s">
        <v>218</v>
      </c>
      <c r="G126" s="145">
        <f>G127+G129+G131+G133+G135</f>
        <v>19205.022000000001</v>
      </c>
      <c r="H126" s="145">
        <f t="shared" ref="H126" si="23">H127+H129+H131+H133+H135</f>
        <v>0</v>
      </c>
      <c r="I126" s="218"/>
    </row>
    <row r="127" spans="1:9" ht="38.25">
      <c r="A127" s="556" t="s">
        <v>954</v>
      </c>
      <c r="B127" s="688" t="s">
        <v>955</v>
      </c>
      <c r="C127" s="688"/>
      <c r="D127" s="129" t="s">
        <v>117</v>
      </c>
      <c r="E127" s="129" t="s">
        <v>217</v>
      </c>
      <c r="F127" s="129" t="s">
        <v>218</v>
      </c>
      <c r="G127" s="145">
        <f>G128</f>
        <v>3117.1419999999998</v>
      </c>
      <c r="H127" s="145">
        <f>H128</f>
        <v>0</v>
      </c>
      <c r="I127" s="218"/>
    </row>
    <row r="128" spans="1:9">
      <c r="A128" s="135" t="s">
        <v>269</v>
      </c>
      <c r="B128" s="335" t="s">
        <v>1037</v>
      </c>
      <c r="C128" s="129" t="s">
        <v>420</v>
      </c>
      <c r="D128" s="129" t="s">
        <v>117</v>
      </c>
      <c r="E128" s="129" t="s">
        <v>217</v>
      </c>
      <c r="F128" s="129" t="s">
        <v>218</v>
      </c>
      <c r="G128" s="145">
        <f>'пр.11 2021-2022г'!G338</f>
        <v>3117.1419999999998</v>
      </c>
      <c r="H128" s="145">
        <f>'пр.11 2021-2022г'!H338</f>
        <v>0</v>
      </c>
      <c r="I128" s="218"/>
    </row>
    <row r="129" spans="1:9" ht="38.25" hidden="1">
      <c r="A129" s="136" t="s">
        <v>797</v>
      </c>
      <c r="B129" s="129" t="s">
        <v>1038</v>
      </c>
      <c r="C129" s="129"/>
      <c r="D129" s="129" t="s">
        <v>117</v>
      </c>
      <c r="E129" s="129" t="s">
        <v>217</v>
      </c>
      <c r="F129" s="129" t="s">
        <v>218</v>
      </c>
      <c r="G129" s="145">
        <f>G130</f>
        <v>0</v>
      </c>
      <c r="H129" s="145">
        <f t="shared" ref="H129" si="24">H130</f>
        <v>0</v>
      </c>
      <c r="I129" s="218"/>
    </row>
    <row r="130" spans="1:9" hidden="1">
      <c r="A130" s="136" t="s">
        <v>271</v>
      </c>
      <c r="B130" s="129" t="s">
        <v>1038</v>
      </c>
      <c r="C130" s="129" t="s">
        <v>268</v>
      </c>
      <c r="D130" s="129" t="s">
        <v>117</v>
      </c>
      <c r="E130" s="129" t="s">
        <v>217</v>
      </c>
      <c r="F130" s="129" t="s">
        <v>218</v>
      </c>
      <c r="G130" s="145">
        <f>'пр.11 2021-2022г'!G344</f>
        <v>0</v>
      </c>
      <c r="H130" s="145">
        <f>'пр.11 2021-2022г'!H344</f>
        <v>0</v>
      </c>
      <c r="I130" s="218"/>
    </row>
    <row r="131" spans="1:9" ht="38.25">
      <c r="A131" s="641" t="s">
        <v>187</v>
      </c>
      <c r="B131" s="129" t="s">
        <v>1039</v>
      </c>
      <c r="C131" s="129"/>
      <c r="D131" s="129" t="s">
        <v>117</v>
      </c>
      <c r="E131" s="129" t="s">
        <v>217</v>
      </c>
      <c r="F131" s="129" t="s">
        <v>218</v>
      </c>
      <c r="G131" s="145">
        <f>G132</f>
        <v>9737.2000000000007</v>
      </c>
      <c r="H131" s="145">
        <f>H132</f>
        <v>0</v>
      </c>
      <c r="I131" s="218"/>
    </row>
    <row r="132" spans="1:9">
      <c r="A132" s="136" t="s">
        <v>271</v>
      </c>
      <c r="B132" s="129" t="s">
        <v>1039</v>
      </c>
      <c r="C132" s="129" t="s">
        <v>268</v>
      </c>
      <c r="D132" s="129" t="s">
        <v>117</v>
      </c>
      <c r="E132" s="129" t="s">
        <v>217</v>
      </c>
      <c r="F132" s="129" t="s">
        <v>218</v>
      </c>
      <c r="G132" s="145">
        <f>'пр.11 2021-2022г'!G340</f>
        <v>9737.2000000000007</v>
      </c>
      <c r="H132" s="145">
        <f>'пр.11 2021-2022г'!H340</f>
        <v>0</v>
      </c>
      <c r="I132" s="218"/>
    </row>
    <row r="133" spans="1:9" ht="51">
      <c r="A133" s="641" t="s">
        <v>732</v>
      </c>
      <c r="B133" s="129" t="s">
        <v>1039</v>
      </c>
      <c r="C133" s="129"/>
      <c r="D133" s="129" t="s">
        <v>117</v>
      </c>
      <c r="E133" s="129" t="s">
        <v>217</v>
      </c>
      <c r="F133" s="129" t="s">
        <v>218</v>
      </c>
      <c r="G133" s="145">
        <f>G134</f>
        <v>6241.18</v>
      </c>
      <c r="H133" s="145">
        <f t="shared" ref="H133" si="25">H134</f>
        <v>0</v>
      </c>
      <c r="I133" s="218"/>
    </row>
    <row r="134" spans="1:9">
      <c r="A134" s="136" t="s">
        <v>271</v>
      </c>
      <c r="B134" s="129" t="s">
        <v>1039</v>
      </c>
      <c r="C134" s="129" t="s">
        <v>268</v>
      </c>
      <c r="D134" s="129" t="s">
        <v>117</v>
      </c>
      <c r="E134" s="129" t="s">
        <v>217</v>
      </c>
      <c r="F134" s="129" t="s">
        <v>218</v>
      </c>
      <c r="G134" s="145">
        <f>'пр.11 2021-2022г'!G342</f>
        <v>6241.18</v>
      </c>
      <c r="H134" s="145">
        <f>'пр.11 2021-2022г'!H342</f>
        <v>0</v>
      </c>
      <c r="I134" s="218"/>
    </row>
    <row r="135" spans="1:9" ht="229.5">
      <c r="A135" s="45" t="s">
        <v>809</v>
      </c>
      <c r="B135" s="708" t="s">
        <v>1040</v>
      </c>
      <c r="C135" s="129"/>
      <c r="D135" s="129" t="s">
        <v>117</v>
      </c>
      <c r="E135" s="129" t="s">
        <v>220</v>
      </c>
      <c r="F135" s="129" t="s">
        <v>218</v>
      </c>
      <c r="G135" s="145">
        <f>G136</f>
        <v>109.5</v>
      </c>
      <c r="H135" s="145">
        <f>H136</f>
        <v>0</v>
      </c>
      <c r="I135" s="218"/>
    </row>
    <row r="136" spans="1:9">
      <c r="A136" s="136" t="s">
        <v>271</v>
      </c>
      <c r="B136" s="708" t="s">
        <v>1040</v>
      </c>
      <c r="C136" s="129" t="s">
        <v>268</v>
      </c>
      <c r="D136" s="129" t="s">
        <v>117</v>
      </c>
      <c r="E136" s="129" t="s">
        <v>220</v>
      </c>
      <c r="F136" s="129" t="s">
        <v>218</v>
      </c>
      <c r="G136" s="145">
        <f>'пр.11 2021-2022г'!G441</f>
        <v>109.5</v>
      </c>
      <c r="H136" s="145">
        <f>'пр.11 2021-2022г'!H441</f>
        <v>0</v>
      </c>
      <c r="I136" s="218"/>
    </row>
    <row r="137" spans="1:9" ht="38.25">
      <c r="A137" s="356" t="s">
        <v>461</v>
      </c>
      <c r="B137" s="703" t="s">
        <v>959</v>
      </c>
      <c r="C137" s="357"/>
      <c r="D137" s="354" t="s">
        <v>117</v>
      </c>
      <c r="E137" s="354" t="s">
        <v>217</v>
      </c>
      <c r="F137" s="354" t="s">
        <v>217</v>
      </c>
      <c r="G137" s="355">
        <f>G138</f>
        <v>8483.8340000000007</v>
      </c>
      <c r="H137" s="355">
        <f>H138</f>
        <v>0</v>
      </c>
      <c r="I137" s="218"/>
    </row>
    <row r="138" spans="1:9" ht="25.5">
      <c r="A138" s="356" t="s">
        <v>952</v>
      </c>
      <c r="B138" s="703" t="s">
        <v>960</v>
      </c>
      <c r="C138" s="357"/>
      <c r="D138" s="354" t="s">
        <v>117</v>
      </c>
      <c r="E138" s="354" t="s">
        <v>217</v>
      </c>
      <c r="F138" s="354" t="s">
        <v>217</v>
      </c>
      <c r="G138" s="355">
        <f>G139+G140+G142+G144</f>
        <v>8483.8340000000007</v>
      </c>
      <c r="H138" s="355">
        <f t="shared" ref="H138" si="26">H139+H140+H142+H144</f>
        <v>0</v>
      </c>
      <c r="I138" s="218"/>
    </row>
    <row r="139" spans="1:9">
      <c r="A139" s="138" t="s">
        <v>348</v>
      </c>
      <c r="B139" s="335" t="s">
        <v>1041</v>
      </c>
      <c r="C139" s="129" t="s">
        <v>421</v>
      </c>
      <c r="D139" s="129" t="s">
        <v>117</v>
      </c>
      <c r="E139" s="129" t="s">
        <v>217</v>
      </c>
      <c r="F139" s="129" t="s">
        <v>217</v>
      </c>
      <c r="G139" s="145">
        <f>'пр.11 2021-2022г'!G358</f>
        <v>1058.434</v>
      </c>
      <c r="H139" s="145">
        <f>'пр.11 2021-2022г'!H358</f>
        <v>0</v>
      </c>
      <c r="I139" s="218"/>
    </row>
    <row r="140" spans="1:9" ht="38.25">
      <c r="A140" s="68" t="s">
        <v>188</v>
      </c>
      <c r="B140" s="129" t="s">
        <v>1042</v>
      </c>
      <c r="C140" s="351"/>
      <c r="D140" s="129" t="s">
        <v>117</v>
      </c>
      <c r="E140" s="129" t="s">
        <v>217</v>
      </c>
      <c r="F140" s="129" t="s">
        <v>217</v>
      </c>
      <c r="G140" s="145">
        <f>G141</f>
        <v>3655</v>
      </c>
      <c r="H140" s="145">
        <f t="shared" ref="H140" si="27">H141</f>
        <v>0</v>
      </c>
      <c r="I140" s="218"/>
    </row>
    <row r="141" spans="1:9" ht="38.25">
      <c r="A141" s="68" t="s">
        <v>447</v>
      </c>
      <c r="B141" s="129" t="s">
        <v>1042</v>
      </c>
      <c r="C141" s="129" t="s">
        <v>354</v>
      </c>
      <c r="D141" s="129" t="s">
        <v>117</v>
      </c>
      <c r="E141" s="129" t="s">
        <v>217</v>
      </c>
      <c r="F141" s="129" t="s">
        <v>217</v>
      </c>
      <c r="G141" s="145">
        <f>'пр.11 2021-2022г'!G360</f>
        <v>3655</v>
      </c>
      <c r="H141" s="145">
        <f>'пр.11 2021-2022г'!H360</f>
        <v>0</v>
      </c>
      <c r="I141" s="218"/>
    </row>
    <row r="142" spans="1:9" ht="38.25">
      <c r="A142" s="68" t="s">
        <v>915</v>
      </c>
      <c r="B142" s="335" t="s">
        <v>1043</v>
      </c>
      <c r="C142" s="351"/>
      <c r="D142" s="129" t="s">
        <v>117</v>
      </c>
      <c r="E142" s="129" t="s">
        <v>217</v>
      </c>
      <c r="F142" s="129" t="s">
        <v>217</v>
      </c>
      <c r="G142" s="145">
        <f>G143</f>
        <v>3714.7</v>
      </c>
      <c r="H142" s="145">
        <f>H143</f>
        <v>0</v>
      </c>
      <c r="I142" s="218"/>
    </row>
    <row r="143" spans="1:9" ht="38.25">
      <c r="A143" s="68" t="s">
        <v>447</v>
      </c>
      <c r="B143" s="335" t="s">
        <v>1043</v>
      </c>
      <c r="C143" s="129" t="s">
        <v>354</v>
      </c>
      <c r="D143" s="129" t="s">
        <v>117</v>
      </c>
      <c r="E143" s="129" t="s">
        <v>217</v>
      </c>
      <c r="F143" s="129" t="s">
        <v>217</v>
      </c>
      <c r="G143" s="145">
        <f>'пр.11 2021-2022г'!G362</f>
        <v>3714.7</v>
      </c>
      <c r="H143" s="145">
        <f>'пр.11 2021-2022г'!H362</f>
        <v>0</v>
      </c>
      <c r="I143" s="218"/>
    </row>
    <row r="144" spans="1:9" ht="38.25">
      <c r="A144" s="135" t="s">
        <v>916</v>
      </c>
      <c r="B144" s="335" t="s">
        <v>1044</v>
      </c>
      <c r="C144" s="129"/>
      <c r="D144" s="129" t="s">
        <v>117</v>
      </c>
      <c r="E144" s="129" t="s">
        <v>217</v>
      </c>
      <c r="F144" s="129" t="s">
        <v>217</v>
      </c>
      <c r="G144" s="145">
        <f>G145+G146+G147</f>
        <v>55.7</v>
      </c>
      <c r="H144" s="145">
        <f>H145+H146+H147</f>
        <v>0</v>
      </c>
      <c r="I144" s="218"/>
    </row>
    <row r="145" spans="1:9" ht="63.75">
      <c r="A145" s="135" t="s">
        <v>162</v>
      </c>
      <c r="B145" s="335" t="s">
        <v>1044</v>
      </c>
      <c r="C145" s="129" t="s">
        <v>438</v>
      </c>
      <c r="D145" s="129" t="s">
        <v>117</v>
      </c>
      <c r="E145" s="129" t="s">
        <v>217</v>
      </c>
      <c r="F145" s="129" t="s">
        <v>217</v>
      </c>
      <c r="G145" s="145">
        <f>'пр.11 2021-2022г'!G364</f>
        <v>32.649000000000001</v>
      </c>
      <c r="H145" s="145">
        <f>'пр.11 2021-2022г'!H364</f>
        <v>0</v>
      </c>
      <c r="I145" s="218"/>
    </row>
    <row r="146" spans="1:9" ht="25.5">
      <c r="A146" s="135" t="s">
        <v>616</v>
      </c>
      <c r="B146" s="335" t="s">
        <v>1044</v>
      </c>
      <c r="C146" s="335">
        <v>119</v>
      </c>
      <c r="D146" s="129" t="s">
        <v>117</v>
      </c>
      <c r="E146" s="129" t="s">
        <v>217</v>
      </c>
      <c r="F146" s="129" t="s">
        <v>217</v>
      </c>
      <c r="G146" s="145">
        <f>'пр.11 2021-2022г'!G365</f>
        <v>9.8789999999999996</v>
      </c>
      <c r="H146" s="145">
        <f>'пр.11 2021-2022г'!H365</f>
        <v>0</v>
      </c>
      <c r="I146" s="218"/>
    </row>
    <row r="147" spans="1:9" ht="38.25">
      <c r="A147" s="139" t="s">
        <v>275</v>
      </c>
      <c r="B147" s="335" t="s">
        <v>1044</v>
      </c>
      <c r="C147" s="335">
        <v>244</v>
      </c>
      <c r="D147" s="129" t="s">
        <v>117</v>
      </c>
      <c r="E147" s="129" t="s">
        <v>217</v>
      </c>
      <c r="F147" s="129" t="s">
        <v>217</v>
      </c>
      <c r="G147" s="145">
        <f>'пр.11 2021-2022г'!G366</f>
        <v>13.172000000000001</v>
      </c>
      <c r="H147" s="145">
        <f>'пр.11 2021-2022г'!H366</f>
        <v>0</v>
      </c>
      <c r="I147" s="218"/>
    </row>
    <row r="148" spans="1:9" ht="38.25">
      <c r="A148" s="512" t="s">
        <v>454</v>
      </c>
      <c r="B148" s="709" t="s">
        <v>1046</v>
      </c>
      <c r="C148" s="513"/>
      <c r="D148" s="129" t="s">
        <v>117</v>
      </c>
      <c r="E148" s="129" t="s">
        <v>217</v>
      </c>
      <c r="F148" s="129" t="s">
        <v>219</v>
      </c>
      <c r="G148" s="514">
        <f>G149</f>
        <v>300</v>
      </c>
      <c r="H148" s="514">
        <f>H149</f>
        <v>0</v>
      </c>
      <c r="I148" s="218"/>
    </row>
    <row r="149" spans="1:9" ht="38.25">
      <c r="A149" s="512" t="s">
        <v>966</v>
      </c>
      <c r="B149" s="709" t="s">
        <v>1045</v>
      </c>
      <c r="C149" s="513"/>
      <c r="D149" s="129" t="s">
        <v>117</v>
      </c>
      <c r="E149" s="129" t="s">
        <v>217</v>
      </c>
      <c r="F149" s="129" t="s">
        <v>219</v>
      </c>
      <c r="G149" s="514">
        <f>G150</f>
        <v>300</v>
      </c>
      <c r="H149" s="514">
        <f>H150</f>
        <v>0</v>
      </c>
      <c r="I149" s="218"/>
    </row>
    <row r="150" spans="1:9" ht="38.25">
      <c r="A150" s="710" t="s">
        <v>275</v>
      </c>
      <c r="B150" s="121" t="s">
        <v>1045</v>
      </c>
      <c r="C150" s="121" t="s">
        <v>413</v>
      </c>
      <c r="D150" s="129" t="s">
        <v>117</v>
      </c>
      <c r="E150" s="129" t="s">
        <v>217</v>
      </c>
      <c r="F150" s="129" t="s">
        <v>219</v>
      </c>
      <c r="G150" s="401">
        <f>'пр. 10 2020г'!G398</f>
        <v>300</v>
      </c>
      <c r="H150" s="401">
        <v>0</v>
      </c>
      <c r="I150" s="218"/>
    </row>
    <row r="151" spans="1:9" ht="38.25">
      <c r="A151" s="711" t="s">
        <v>968</v>
      </c>
      <c r="B151" s="678" t="s">
        <v>970</v>
      </c>
      <c r="C151" s="354"/>
      <c r="D151" s="129" t="s">
        <v>117</v>
      </c>
      <c r="E151" s="129" t="s">
        <v>217</v>
      </c>
      <c r="F151" s="129" t="s">
        <v>219</v>
      </c>
      <c r="G151" s="712">
        <f>G152</f>
        <v>56809.599999999999</v>
      </c>
      <c r="H151" s="712">
        <f t="shared" ref="H151" si="28">H152</f>
        <v>0</v>
      </c>
      <c r="I151" s="218"/>
    </row>
    <row r="152" spans="1:9" ht="51">
      <c r="A152" s="139" t="s">
        <v>969</v>
      </c>
      <c r="B152" s="678" t="s">
        <v>971</v>
      </c>
      <c r="C152" s="121"/>
      <c r="D152" s="129" t="s">
        <v>117</v>
      </c>
      <c r="E152" s="129" t="s">
        <v>217</v>
      </c>
      <c r="F152" s="129" t="s">
        <v>219</v>
      </c>
      <c r="G152" s="401">
        <f>G153+G156+G164+G167+G170</f>
        <v>56809.599999999999</v>
      </c>
      <c r="H152" s="401">
        <f t="shared" ref="H152" si="29">H153+H156+H164+H167+H170</f>
        <v>0</v>
      </c>
      <c r="I152" s="218"/>
    </row>
    <row r="153" spans="1:9" ht="25.5">
      <c r="A153" s="642" t="s">
        <v>394</v>
      </c>
      <c r="B153" s="121" t="s">
        <v>1003</v>
      </c>
      <c r="C153" s="143"/>
      <c r="D153" s="129" t="s">
        <v>117</v>
      </c>
      <c r="E153" s="129" t="s">
        <v>217</v>
      </c>
      <c r="F153" s="129" t="s">
        <v>219</v>
      </c>
      <c r="G153" s="401">
        <f>G154+G155</f>
        <v>1628.77</v>
      </c>
      <c r="H153" s="401">
        <v>0</v>
      </c>
      <c r="I153" s="218"/>
    </row>
    <row r="154" spans="1:9" ht="25.5">
      <c r="A154" s="135" t="s">
        <v>429</v>
      </c>
      <c r="B154" s="121" t="s">
        <v>1003</v>
      </c>
      <c r="C154" s="557">
        <v>121</v>
      </c>
      <c r="D154" s="129" t="s">
        <v>117</v>
      </c>
      <c r="E154" s="129" t="s">
        <v>217</v>
      </c>
      <c r="F154" s="129" t="s">
        <v>219</v>
      </c>
      <c r="G154" s="401">
        <f>'пр.11 2021-2022г'!G390</f>
        <v>1250.97542</v>
      </c>
      <c r="H154" s="401">
        <v>0</v>
      </c>
      <c r="I154" s="218"/>
    </row>
    <row r="155" spans="1:9" ht="51">
      <c r="A155" s="615" t="s">
        <v>430</v>
      </c>
      <c r="B155" s="121" t="s">
        <v>1003</v>
      </c>
      <c r="C155" s="557">
        <v>129</v>
      </c>
      <c r="D155" s="129" t="s">
        <v>117</v>
      </c>
      <c r="E155" s="129" t="s">
        <v>217</v>
      </c>
      <c r="F155" s="129" t="s">
        <v>219</v>
      </c>
      <c r="G155" s="401">
        <f>'пр.11 2021-2022г'!G391</f>
        <v>377.79458</v>
      </c>
      <c r="H155" s="401">
        <v>0</v>
      </c>
      <c r="I155" s="218"/>
    </row>
    <row r="156" spans="1:9" ht="51">
      <c r="A156" s="68" t="s">
        <v>389</v>
      </c>
      <c r="B156" s="121" t="s">
        <v>1003</v>
      </c>
      <c r="C156" s="143"/>
      <c r="D156" s="129" t="s">
        <v>117</v>
      </c>
      <c r="E156" s="129" t="s">
        <v>217</v>
      </c>
      <c r="F156" s="129" t="s">
        <v>219</v>
      </c>
      <c r="G156" s="401">
        <f>G157+G158+G159+G160+G161+G162+G163</f>
        <v>12968.63</v>
      </c>
      <c r="H156" s="401">
        <v>0</v>
      </c>
      <c r="I156" s="218"/>
    </row>
    <row r="157" spans="1:9">
      <c r="A157" s="333" t="s">
        <v>650</v>
      </c>
      <c r="B157" s="121" t="s">
        <v>1003</v>
      </c>
      <c r="C157" s="688" t="s">
        <v>438</v>
      </c>
      <c r="D157" s="129" t="s">
        <v>117</v>
      </c>
      <c r="E157" s="129" t="s">
        <v>217</v>
      </c>
      <c r="F157" s="129" t="s">
        <v>219</v>
      </c>
      <c r="G157" s="401">
        <f>'пр.11 2021-2022г'!G393</f>
        <v>7896.9969300000002</v>
      </c>
      <c r="H157" s="401">
        <v>0</v>
      </c>
      <c r="I157" s="218"/>
    </row>
    <row r="158" spans="1:9" ht="51">
      <c r="A158" s="333" t="s">
        <v>814</v>
      </c>
      <c r="B158" s="121" t="s">
        <v>1003</v>
      </c>
      <c r="C158" s="688" t="s">
        <v>813</v>
      </c>
      <c r="D158" s="129" t="s">
        <v>117</v>
      </c>
      <c r="E158" s="129" t="s">
        <v>217</v>
      </c>
      <c r="F158" s="129" t="s">
        <v>219</v>
      </c>
      <c r="G158" s="401">
        <f>'пр.11 2021-2022г'!G394</f>
        <v>100</v>
      </c>
      <c r="H158" s="401">
        <v>0</v>
      </c>
      <c r="I158" s="218"/>
    </row>
    <row r="159" spans="1:9" ht="51">
      <c r="A159" s="333" t="s">
        <v>651</v>
      </c>
      <c r="B159" s="121" t="s">
        <v>1003</v>
      </c>
      <c r="C159" s="688" t="s">
        <v>440</v>
      </c>
      <c r="D159" s="129" t="s">
        <v>117</v>
      </c>
      <c r="E159" s="129" t="s">
        <v>217</v>
      </c>
      <c r="F159" s="129" t="s">
        <v>219</v>
      </c>
      <c r="G159" s="401">
        <f>'пр.11 2021-2022г'!G395</f>
        <v>2384.8930700000001</v>
      </c>
      <c r="H159" s="401">
        <v>0</v>
      </c>
      <c r="I159" s="218"/>
    </row>
    <row r="160" spans="1:9" ht="25.5">
      <c r="A160" s="660" t="s">
        <v>418</v>
      </c>
      <c r="B160" s="121" t="s">
        <v>1003</v>
      </c>
      <c r="C160" s="688" t="s">
        <v>419</v>
      </c>
      <c r="D160" s="129" t="s">
        <v>117</v>
      </c>
      <c r="E160" s="129" t="s">
        <v>217</v>
      </c>
      <c r="F160" s="129" t="s">
        <v>219</v>
      </c>
      <c r="G160" s="401">
        <f>'пр.11 2021-2022г'!G396</f>
        <v>300</v>
      </c>
      <c r="H160" s="401">
        <v>0</v>
      </c>
      <c r="I160" s="218"/>
    </row>
    <row r="161" spans="1:9" ht="38.25">
      <c r="A161" s="139" t="s">
        <v>275</v>
      </c>
      <c r="B161" s="121" t="s">
        <v>1003</v>
      </c>
      <c r="C161" s="688" t="s">
        <v>413</v>
      </c>
      <c r="D161" s="129" t="s">
        <v>117</v>
      </c>
      <c r="E161" s="129" t="s">
        <v>217</v>
      </c>
      <c r="F161" s="129" t="s">
        <v>219</v>
      </c>
      <c r="G161" s="401">
        <f>'пр.11 2021-2022г'!G397</f>
        <v>2250.84</v>
      </c>
      <c r="H161" s="401">
        <v>0</v>
      </c>
      <c r="I161" s="218"/>
    </row>
    <row r="162" spans="1:9" ht="25.5">
      <c r="A162" s="135" t="s">
        <v>415</v>
      </c>
      <c r="B162" s="121" t="s">
        <v>1003</v>
      </c>
      <c r="C162" s="353">
        <v>851</v>
      </c>
      <c r="D162" s="129" t="s">
        <v>117</v>
      </c>
      <c r="E162" s="129" t="s">
        <v>217</v>
      </c>
      <c r="F162" s="129" t="s">
        <v>219</v>
      </c>
      <c r="G162" s="401">
        <f>'пр.11 2021-2022г'!G398</f>
        <v>4.9000000000000004</v>
      </c>
      <c r="H162" s="401">
        <v>0</v>
      </c>
      <c r="I162" s="218"/>
    </row>
    <row r="163" spans="1:9">
      <c r="A163" s="135" t="s">
        <v>276</v>
      </c>
      <c r="B163" s="121" t="s">
        <v>1003</v>
      </c>
      <c r="C163" s="353">
        <v>852</v>
      </c>
      <c r="D163" s="129" t="s">
        <v>117</v>
      </c>
      <c r="E163" s="129" t="s">
        <v>217</v>
      </c>
      <c r="F163" s="129" t="s">
        <v>219</v>
      </c>
      <c r="G163" s="401">
        <f>'пр.11 2021-2022г'!G399</f>
        <v>31</v>
      </c>
      <c r="H163" s="401">
        <v>0</v>
      </c>
      <c r="I163" s="218"/>
    </row>
    <row r="164" spans="1:9" ht="38.25">
      <c r="A164" s="135" t="s">
        <v>441</v>
      </c>
      <c r="B164" s="121" t="s">
        <v>1004</v>
      </c>
      <c r="C164" s="353"/>
      <c r="D164" s="129" t="s">
        <v>117</v>
      </c>
      <c r="E164" s="129" t="s">
        <v>217</v>
      </c>
      <c r="F164" s="129" t="s">
        <v>219</v>
      </c>
      <c r="G164" s="401">
        <f>G165+G166</f>
        <v>50.199999999999996</v>
      </c>
      <c r="H164" s="401">
        <f t="shared" ref="H164" si="30">H165+H166</f>
        <v>0</v>
      </c>
      <c r="I164" s="218"/>
    </row>
    <row r="165" spans="1:9" ht="38.25">
      <c r="A165" s="135" t="s">
        <v>160</v>
      </c>
      <c r="B165" s="121" t="s">
        <v>1004</v>
      </c>
      <c r="C165" s="353">
        <v>121</v>
      </c>
      <c r="D165" s="129" t="s">
        <v>117</v>
      </c>
      <c r="E165" s="129" t="s">
        <v>217</v>
      </c>
      <c r="F165" s="129" t="s">
        <v>219</v>
      </c>
      <c r="G165" s="401">
        <f>'пр.11 2021-2022г'!G401</f>
        <v>38.556069999999998</v>
      </c>
      <c r="H165" s="401">
        <f>H166</f>
        <v>0</v>
      </c>
      <c r="I165" s="218"/>
    </row>
    <row r="166" spans="1:9" ht="51">
      <c r="A166" s="615" t="s">
        <v>430</v>
      </c>
      <c r="B166" s="121" t="s">
        <v>1004</v>
      </c>
      <c r="C166" s="353">
        <v>129</v>
      </c>
      <c r="D166" s="129" t="s">
        <v>117</v>
      </c>
      <c r="E166" s="129" t="s">
        <v>217</v>
      </c>
      <c r="F166" s="129" t="s">
        <v>219</v>
      </c>
      <c r="G166" s="401">
        <f>'пр.11 2021-2022г'!G402</f>
        <v>11.643929999999999</v>
      </c>
      <c r="H166" s="401">
        <f>'пр.11 2021-2022г'!H402</f>
        <v>0</v>
      </c>
      <c r="I166" s="218"/>
    </row>
    <row r="167" spans="1:9" ht="102">
      <c r="A167" s="68" t="s">
        <v>588</v>
      </c>
      <c r="B167" s="121" t="s">
        <v>1005</v>
      </c>
      <c r="C167" s="143"/>
      <c r="D167" s="129" t="s">
        <v>117</v>
      </c>
      <c r="E167" s="129" t="s">
        <v>217</v>
      </c>
      <c r="F167" s="129" t="s">
        <v>219</v>
      </c>
      <c r="G167" s="401">
        <f>G168+G169</f>
        <v>85.399999999999991</v>
      </c>
      <c r="H167" s="401">
        <v>0</v>
      </c>
      <c r="I167" s="218"/>
    </row>
    <row r="168" spans="1:9" ht="38.25">
      <c r="A168" s="135" t="s">
        <v>160</v>
      </c>
      <c r="B168" s="121" t="s">
        <v>1005</v>
      </c>
      <c r="C168" s="121" t="s">
        <v>412</v>
      </c>
      <c r="D168" s="129" t="s">
        <v>117</v>
      </c>
      <c r="E168" s="129" t="s">
        <v>217</v>
      </c>
      <c r="F168" s="129" t="s">
        <v>219</v>
      </c>
      <c r="G168" s="401">
        <f>'пр.11 2021-2022г'!G404</f>
        <v>65.59138999999999</v>
      </c>
      <c r="H168" s="401">
        <v>0</v>
      </c>
      <c r="I168" s="218"/>
    </row>
    <row r="169" spans="1:9" ht="51">
      <c r="A169" s="615" t="s">
        <v>430</v>
      </c>
      <c r="B169" s="121" t="s">
        <v>1005</v>
      </c>
      <c r="C169" s="121" t="s">
        <v>431</v>
      </c>
      <c r="D169" s="129" t="s">
        <v>117</v>
      </c>
      <c r="E169" s="129" t="s">
        <v>217</v>
      </c>
      <c r="F169" s="129" t="s">
        <v>219</v>
      </c>
      <c r="G169" s="401">
        <f>'пр.11 2021-2022г'!G405</f>
        <v>19.808609999999998</v>
      </c>
      <c r="H169" s="401">
        <v>0</v>
      </c>
      <c r="I169" s="218"/>
    </row>
    <row r="170" spans="1:9" ht="76.5">
      <c r="A170" s="642" t="s">
        <v>918</v>
      </c>
      <c r="B170" s="121" t="s">
        <v>1006</v>
      </c>
      <c r="C170" s="143"/>
      <c r="D170" s="129" t="s">
        <v>117</v>
      </c>
      <c r="E170" s="129" t="s">
        <v>217</v>
      </c>
      <c r="F170" s="129" t="s">
        <v>219</v>
      </c>
      <c r="G170" s="401">
        <f>G171+G172</f>
        <v>42076.6</v>
      </c>
      <c r="H170" s="401">
        <f t="shared" ref="H170" si="31">H171+H172</f>
        <v>0</v>
      </c>
      <c r="I170" s="218"/>
    </row>
    <row r="171" spans="1:9">
      <c r="A171" s="333" t="s">
        <v>650</v>
      </c>
      <c r="B171" s="121" t="s">
        <v>1006</v>
      </c>
      <c r="C171" s="121" t="s">
        <v>438</v>
      </c>
      <c r="D171" s="129" t="s">
        <v>117</v>
      </c>
      <c r="E171" s="129" t="s">
        <v>217</v>
      </c>
      <c r="F171" s="129" t="s">
        <v>219</v>
      </c>
      <c r="G171" s="401">
        <f>'пр.11 2021-2022г'!G407</f>
        <v>32316.897000000001</v>
      </c>
      <c r="H171" s="401">
        <v>0</v>
      </c>
      <c r="I171" s="218"/>
    </row>
    <row r="172" spans="1:9" ht="51">
      <c r="A172" s="138" t="s">
        <v>651</v>
      </c>
      <c r="B172" s="121" t="s">
        <v>1006</v>
      </c>
      <c r="C172" s="121" t="s">
        <v>440</v>
      </c>
      <c r="D172" s="129" t="s">
        <v>117</v>
      </c>
      <c r="E172" s="129" t="s">
        <v>217</v>
      </c>
      <c r="F172" s="129" t="s">
        <v>219</v>
      </c>
      <c r="G172" s="401">
        <f>'пр.11 2021-2022г'!G408</f>
        <v>9759.7029999999995</v>
      </c>
      <c r="H172" s="401">
        <v>0</v>
      </c>
      <c r="I172" s="218"/>
    </row>
    <row r="173" spans="1:9" ht="38.25">
      <c r="A173" s="499" t="s">
        <v>901</v>
      </c>
      <c r="B173" s="674" t="s">
        <v>869</v>
      </c>
      <c r="C173" s="375"/>
      <c r="D173" s="375" t="s">
        <v>203</v>
      </c>
      <c r="E173" s="375"/>
      <c r="F173" s="375"/>
      <c r="G173" s="675">
        <f>G174</f>
        <v>23.689889999999998</v>
      </c>
      <c r="H173" s="675">
        <f>H174</f>
        <v>23.689889999999998</v>
      </c>
      <c r="I173" s="218"/>
    </row>
    <row r="174" spans="1:9" ht="25.5">
      <c r="A174" s="135" t="s">
        <v>1021</v>
      </c>
      <c r="B174" s="129" t="s">
        <v>869</v>
      </c>
      <c r="C174" s="121"/>
      <c r="D174" s="129" t="s">
        <v>203</v>
      </c>
      <c r="E174" s="129" t="s">
        <v>228</v>
      </c>
      <c r="F174" s="129" t="s">
        <v>218</v>
      </c>
      <c r="G174" s="145">
        <f>G175</f>
        <v>23.689889999999998</v>
      </c>
      <c r="H174" s="145">
        <f>H175</f>
        <v>23.689889999999998</v>
      </c>
      <c r="I174" s="218"/>
    </row>
    <row r="175" spans="1:9">
      <c r="A175" s="135" t="s">
        <v>411</v>
      </c>
      <c r="B175" s="129" t="s">
        <v>869</v>
      </c>
      <c r="C175" s="121" t="s">
        <v>422</v>
      </c>
      <c r="D175" s="129" t="s">
        <v>203</v>
      </c>
      <c r="E175" s="129" t="s">
        <v>228</v>
      </c>
      <c r="F175" s="129" t="s">
        <v>218</v>
      </c>
      <c r="G175" s="145">
        <f>'пр.11 2021-2022г'!G249</f>
        <v>23.689889999999998</v>
      </c>
      <c r="H175" s="145">
        <f>'пр.11 2021-2022г'!H249</f>
        <v>23.689889999999998</v>
      </c>
      <c r="I175" s="218"/>
    </row>
    <row r="176" spans="1:9" ht="38.25">
      <c r="A176" s="499" t="s">
        <v>771</v>
      </c>
      <c r="B176" s="611" t="s">
        <v>688</v>
      </c>
      <c r="C176" s="232"/>
      <c r="D176" s="232" t="s">
        <v>203</v>
      </c>
      <c r="E176" s="232"/>
      <c r="F176" s="232"/>
      <c r="G176" s="359">
        <f>G177</f>
        <v>10715.360600000002</v>
      </c>
      <c r="H176" s="359">
        <f>H177</f>
        <v>0</v>
      </c>
      <c r="I176" s="218"/>
    </row>
    <row r="177" spans="1:9" ht="51">
      <c r="A177" s="211" t="s">
        <v>1022</v>
      </c>
      <c r="B177" s="719"/>
      <c r="C177" s="558"/>
      <c r="D177" s="688" t="s">
        <v>203</v>
      </c>
      <c r="E177" s="688" t="s">
        <v>228</v>
      </c>
      <c r="F177" s="688" t="s">
        <v>218</v>
      </c>
      <c r="G177" s="559">
        <f>G178+G180</f>
        <v>10715.360600000002</v>
      </c>
      <c r="H177" s="559">
        <f t="shared" ref="H177" si="32">H178+H180</f>
        <v>0</v>
      </c>
      <c r="I177" s="218"/>
    </row>
    <row r="178" spans="1:9" ht="51">
      <c r="A178" s="135" t="s">
        <v>773</v>
      </c>
      <c r="B178" s="611" t="s">
        <v>688</v>
      </c>
      <c r="C178" s="351"/>
      <c r="D178" s="129" t="s">
        <v>203</v>
      </c>
      <c r="E178" s="129" t="s">
        <v>228</v>
      </c>
      <c r="F178" s="129" t="s">
        <v>218</v>
      </c>
      <c r="G178" s="360">
        <f>G179</f>
        <v>10704.300000000001</v>
      </c>
      <c r="H178" s="360">
        <f>H179</f>
        <v>0</v>
      </c>
      <c r="I178" s="218"/>
    </row>
    <row r="179" spans="1:9">
      <c r="A179" s="135" t="s">
        <v>411</v>
      </c>
      <c r="B179" s="611" t="s">
        <v>688</v>
      </c>
      <c r="C179" s="121" t="s">
        <v>422</v>
      </c>
      <c r="D179" s="129" t="s">
        <v>203</v>
      </c>
      <c r="E179" s="129" t="s">
        <v>228</v>
      </c>
      <c r="F179" s="129" t="s">
        <v>218</v>
      </c>
      <c r="G179" s="145">
        <f>'пр.11 2021-2022г'!G257</f>
        <v>10704.300000000001</v>
      </c>
      <c r="H179" s="145">
        <f>'пр.11 2021-2022г'!H257</f>
        <v>0</v>
      </c>
      <c r="I179" s="218"/>
    </row>
    <row r="180" spans="1:9" ht="51">
      <c r="A180" s="135" t="s">
        <v>772</v>
      </c>
      <c r="B180" s="611" t="s">
        <v>688</v>
      </c>
      <c r="C180" s="121"/>
      <c r="D180" s="129" t="s">
        <v>203</v>
      </c>
      <c r="E180" s="129" t="s">
        <v>228</v>
      </c>
      <c r="F180" s="129" t="s">
        <v>218</v>
      </c>
      <c r="G180" s="145">
        <f>G181</f>
        <v>11.060600000000001</v>
      </c>
      <c r="H180" s="145">
        <f>H181</f>
        <v>0</v>
      </c>
      <c r="I180" s="218"/>
    </row>
    <row r="181" spans="1:9">
      <c r="A181" s="135" t="s">
        <v>411</v>
      </c>
      <c r="B181" s="611" t="s">
        <v>688</v>
      </c>
      <c r="C181" s="121" t="s">
        <v>422</v>
      </c>
      <c r="D181" s="129" t="s">
        <v>203</v>
      </c>
      <c r="E181" s="129" t="s">
        <v>228</v>
      </c>
      <c r="F181" s="129" t="s">
        <v>218</v>
      </c>
      <c r="G181" s="145">
        <f>'пр.11 2021-2022г'!G259</f>
        <v>11.060600000000001</v>
      </c>
      <c r="H181" s="145">
        <f>'пр.11 2021-2022г'!H259</f>
        <v>0</v>
      </c>
      <c r="I181" s="218"/>
    </row>
    <row r="182" spans="1:9" ht="38.25">
      <c r="A182" s="142" t="s">
        <v>870</v>
      </c>
      <c r="B182" s="676" t="s">
        <v>1050</v>
      </c>
      <c r="C182" s="676"/>
      <c r="D182" s="676" t="s">
        <v>872</v>
      </c>
      <c r="E182" s="676"/>
      <c r="F182" s="676"/>
      <c r="G182" s="677">
        <f>G183+G185+G186+G188</f>
        <v>58610.100000000006</v>
      </c>
      <c r="H182" s="677">
        <f>H183+H185+H186+H188</f>
        <v>0</v>
      </c>
      <c r="I182" s="218"/>
    </row>
    <row r="183" spans="1:9" ht="76.5">
      <c r="A183" s="254" t="s">
        <v>1114</v>
      </c>
      <c r="B183" s="678" t="s">
        <v>1050</v>
      </c>
      <c r="C183" s="678"/>
      <c r="D183" s="678" t="s">
        <v>117</v>
      </c>
      <c r="E183" s="678" t="s">
        <v>217</v>
      </c>
      <c r="F183" s="678" t="s">
        <v>219</v>
      </c>
      <c r="G183" s="679">
        <f>G184</f>
        <v>50</v>
      </c>
      <c r="H183" s="399">
        <f>H184</f>
        <v>0</v>
      </c>
      <c r="I183" s="218"/>
    </row>
    <row r="184" spans="1:9" ht="38.25">
      <c r="A184" s="139" t="s">
        <v>275</v>
      </c>
      <c r="B184" s="678" t="s">
        <v>871</v>
      </c>
      <c r="C184" s="678" t="s">
        <v>413</v>
      </c>
      <c r="D184" s="678" t="s">
        <v>117</v>
      </c>
      <c r="E184" s="678" t="s">
        <v>217</v>
      </c>
      <c r="F184" s="678" t="s">
        <v>219</v>
      </c>
      <c r="G184" s="680">
        <f>'пр.11 2021-2022г'!G384</f>
        <v>50</v>
      </c>
      <c r="H184" s="146">
        <f>'пр.11 2021-2022г'!H384</f>
        <v>0</v>
      </c>
      <c r="I184" s="218"/>
    </row>
    <row r="185" spans="1:9" ht="38.25">
      <c r="A185" s="139" t="s">
        <v>275</v>
      </c>
      <c r="B185" s="678" t="s">
        <v>873</v>
      </c>
      <c r="C185" s="678" t="s">
        <v>413</v>
      </c>
      <c r="D185" s="678" t="s">
        <v>203</v>
      </c>
      <c r="E185" s="678" t="s">
        <v>224</v>
      </c>
      <c r="F185" s="678" t="s">
        <v>219</v>
      </c>
      <c r="G185" s="680">
        <f>'пр.11 2021-2022г'!G145+'пр.11 2021-2022г'!G449</f>
        <v>13938</v>
      </c>
      <c r="H185" s="146">
        <f>'пр.11 2021-2022г'!H145</f>
        <v>0</v>
      </c>
      <c r="I185" s="218"/>
    </row>
    <row r="186" spans="1:9" ht="51">
      <c r="A186" s="254" t="s">
        <v>868</v>
      </c>
      <c r="B186" s="678" t="s">
        <v>1115</v>
      </c>
      <c r="C186" s="678"/>
      <c r="D186" s="678" t="s">
        <v>662</v>
      </c>
      <c r="E186" s="678" t="s">
        <v>224</v>
      </c>
      <c r="F186" s="678" t="s">
        <v>219</v>
      </c>
      <c r="G186" s="680">
        <f>G187</f>
        <v>531.4</v>
      </c>
      <c r="H186" s="146">
        <v>0</v>
      </c>
      <c r="I186" s="218"/>
    </row>
    <row r="187" spans="1:9" ht="38.25">
      <c r="A187" s="139" t="s">
        <v>275</v>
      </c>
      <c r="B187" s="678" t="s">
        <v>1115</v>
      </c>
      <c r="C187" s="678" t="s">
        <v>413</v>
      </c>
      <c r="D187" s="678" t="s">
        <v>662</v>
      </c>
      <c r="E187" s="678" t="s">
        <v>224</v>
      </c>
      <c r="F187" s="678" t="s">
        <v>219</v>
      </c>
      <c r="G187" s="680">
        <f>'пр.11 2021-2022г'!G451</f>
        <v>531.4</v>
      </c>
      <c r="H187" s="146">
        <v>0</v>
      </c>
      <c r="I187" s="218"/>
    </row>
    <row r="188" spans="1:9" ht="38.25">
      <c r="A188" s="139" t="s">
        <v>799</v>
      </c>
      <c r="B188" s="121" t="s">
        <v>800</v>
      </c>
      <c r="C188" s="678"/>
      <c r="D188" s="678" t="s">
        <v>662</v>
      </c>
      <c r="E188" s="678" t="s">
        <v>224</v>
      </c>
      <c r="F188" s="678" t="s">
        <v>219</v>
      </c>
      <c r="G188" s="680">
        <f>G189</f>
        <v>44090.700000000004</v>
      </c>
      <c r="H188" s="146">
        <v>0</v>
      </c>
      <c r="I188" s="218"/>
    </row>
    <row r="189" spans="1:9" ht="38.25">
      <c r="A189" s="139" t="s">
        <v>275</v>
      </c>
      <c r="B189" s="121" t="s">
        <v>800</v>
      </c>
      <c r="C189" s="678" t="s">
        <v>413</v>
      </c>
      <c r="D189" s="678" t="s">
        <v>662</v>
      </c>
      <c r="E189" s="678" t="s">
        <v>224</v>
      </c>
      <c r="F189" s="678" t="s">
        <v>219</v>
      </c>
      <c r="G189" s="680">
        <f>'пр.11 2021-2022г'!G453</f>
        <v>44090.700000000004</v>
      </c>
      <c r="H189" s="146">
        <v>0</v>
      </c>
      <c r="I189" s="218"/>
    </row>
    <row r="190" spans="1:9" ht="38.25">
      <c r="A190" s="683" t="s">
        <v>883</v>
      </c>
      <c r="B190" s="375" t="s">
        <v>994</v>
      </c>
      <c r="C190" s="684"/>
      <c r="D190" s="684" t="s">
        <v>203</v>
      </c>
      <c r="E190" s="684"/>
      <c r="F190" s="684"/>
      <c r="G190" s="685">
        <f>G191</f>
        <v>10</v>
      </c>
      <c r="H190" s="359">
        <v>0</v>
      </c>
      <c r="I190" s="218"/>
    </row>
    <row r="191" spans="1:9" ht="25.5">
      <c r="A191" s="713" t="s">
        <v>1018</v>
      </c>
      <c r="B191" s="700" t="s">
        <v>1051</v>
      </c>
      <c r="C191" s="678">
        <v>200</v>
      </c>
      <c r="D191" s="678" t="s">
        <v>203</v>
      </c>
      <c r="E191" s="678" t="s">
        <v>220</v>
      </c>
      <c r="F191" s="678" t="s">
        <v>218</v>
      </c>
      <c r="G191" s="680">
        <f>G192</f>
        <v>10</v>
      </c>
      <c r="H191" s="146">
        <v>0</v>
      </c>
      <c r="I191" s="218"/>
    </row>
    <row r="192" spans="1:9" ht="38.25">
      <c r="A192" s="139" t="s">
        <v>275</v>
      </c>
      <c r="B192" s="688" t="s">
        <v>996</v>
      </c>
      <c r="C192" s="678" t="s">
        <v>413</v>
      </c>
      <c r="D192" s="678" t="s">
        <v>203</v>
      </c>
      <c r="E192" s="678" t="s">
        <v>220</v>
      </c>
      <c r="F192" s="678" t="s">
        <v>218</v>
      </c>
      <c r="G192" s="680">
        <f>'пр.11 2021-2022г'!G199</f>
        <v>10</v>
      </c>
      <c r="H192" s="146">
        <f>'пр.11 2021-2022г'!H199</f>
        <v>0</v>
      </c>
      <c r="I192" s="218"/>
    </row>
    <row r="193" spans="1:9">
      <c r="A193" s="366" t="s">
        <v>145</v>
      </c>
      <c r="B193" s="213"/>
      <c r="C193" s="213"/>
      <c r="D193" s="213"/>
      <c r="E193" s="213"/>
      <c r="F193" s="213"/>
      <c r="G193" s="359">
        <f>G11+G14+G24+G42+G63+G66+G77+G83+G92+G173+G176+G182+G190</f>
        <v>879888.57140000013</v>
      </c>
      <c r="H193" s="359">
        <f>H11+H14+H24+H42+H63+H66+H77+H83+H92+H173+H176+H182+H190</f>
        <v>111646.95274999998</v>
      </c>
      <c r="I193" s="218"/>
    </row>
    <row r="194" spans="1:9">
      <c r="A194" s="364"/>
      <c r="B194" s="362"/>
      <c r="C194" s="363"/>
      <c r="D194" s="363"/>
      <c r="E194" s="363"/>
      <c r="F194" s="363"/>
      <c r="G194" s="405"/>
      <c r="H194" s="405"/>
    </row>
    <row r="195" spans="1:9">
      <c r="A195" s="364"/>
      <c r="B195" s="362"/>
      <c r="C195" s="362"/>
      <c r="D195" s="363"/>
      <c r="E195" s="363"/>
      <c r="F195" s="363"/>
      <c r="G195" s="405"/>
      <c r="H195" s="405"/>
    </row>
    <row r="196" spans="1:9">
      <c r="A196" s="365"/>
      <c r="B196" s="358"/>
      <c r="C196" s="358"/>
      <c r="D196" s="358"/>
      <c r="E196" s="358"/>
      <c r="F196" s="358"/>
      <c r="G196" s="406"/>
      <c r="H196" s="406"/>
    </row>
    <row r="197" spans="1:9">
      <c r="A197" s="365"/>
      <c r="B197" s="358"/>
      <c r="C197" s="358"/>
      <c r="D197" s="358"/>
      <c r="E197" s="358"/>
      <c r="F197" s="358"/>
      <c r="G197" s="406"/>
      <c r="H197" s="406"/>
    </row>
    <row r="204" spans="1:9">
      <c r="I204" s="367"/>
    </row>
    <row r="205" spans="1:9">
      <c r="I205" s="255"/>
    </row>
    <row r="206" spans="1:9">
      <c r="I206" s="255"/>
    </row>
    <row r="207" spans="1:9">
      <c r="I207" s="255"/>
    </row>
    <row r="208" spans="1:9">
      <c r="I208" s="255"/>
    </row>
  </sheetData>
  <mergeCells count="2">
    <mergeCell ref="F7:G7"/>
    <mergeCell ref="A8:G8"/>
  </mergeCells>
  <pageMargins left="0.7" right="0.7" top="0.75" bottom="0.75" header="0.3" footer="0.3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1"/>
  <sheetViews>
    <sheetView view="pageBreakPreview" zoomScaleSheetLayoutView="100" workbookViewId="0">
      <selection activeCell="G21" sqref="G21"/>
    </sheetView>
  </sheetViews>
  <sheetFormatPr defaultRowHeight="12.75"/>
  <cols>
    <col min="1" max="1" width="4.140625" style="4" customWidth="1"/>
    <col min="2" max="2" width="61.7109375" style="4" customWidth="1"/>
    <col min="3" max="3" width="16.140625" style="4" customWidth="1"/>
    <col min="4" max="16384" width="9.140625" style="4"/>
  </cols>
  <sheetData>
    <row r="1" spans="1:3">
      <c r="C1" s="503" t="s">
        <v>453</v>
      </c>
    </row>
    <row r="2" spans="1:3">
      <c r="C2" s="22" t="s">
        <v>204</v>
      </c>
    </row>
    <row r="3" spans="1:3">
      <c r="C3" s="22" t="s">
        <v>119</v>
      </c>
    </row>
    <row r="4" spans="1:3">
      <c r="C4" s="22" t="s">
        <v>153</v>
      </c>
    </row>
    <row r="5" spans="1:3">
      <c r="C5" s="22" t="s">
        <v>196</v>
      </c>
    </row>
    <row r="6" spans="1:3">
      <c r="A6" s="866" t="s">
        <v>846</v>
      </c>
      <c r="B6" s="866"/>
      <c r="C6" s="866"/>
    </row>
    <row r="7" spans="1:3">
      <c r="A7" s="896" t="s">
        <v>1155</v>
      </c>
      <c r="B7" s="896"/>
      <c r="C7" s="896"/>
    </row>
    <row r="8" spans="1:3">
      <c r="C8" s="50"/>
    </row>
    <row r="9" spans="1:3" ht="36" customHeight="1">
      <c r="A9" s="900" t="s">
        <v>1078</v>
      </c>
      <c r="B9" s="900"/>
      <c r="C9" s="900"/>
    </row>
    <row r="10" spans="1:3">
      <c r="A10" s="901"/>
      <c r="B10" s="901"/>
      <c r="C10" s="901"/>
    </row>
    <row r="11" spans="1:3">
      <c r="C11" s="29" t="s">
        <v>155</v>
      </c>
    </row>
    <row r="12" spans="1:3" ht="15.75" customHeight="1">
      <c r="A12" s="32" t="s">
        <v>368</v>
      </c>
      <c r="B12" s="32" t="s">
        <v>16</v>
      </c>
      <c r="C12" s="35" t="s">
        <v>214</v>
      </c>
    </row>
    <row r="13" spans="1:3">
      <c r="A13" s="902">
        <v>1</v>
      </c>
      <c r="B13" s="898" t="s">
        <v>19</v>
      </c>
      <c r="C13" s="899"/>
    </row>
    <row r="14" spans="1:3">
      <c r="A14" s="902"/>
      <c r="B14" s="25" t="s">
        <v>17</v>
      </c>
      <c r="C14" s="52">
        <v>0</v>
      </c>
    </row>
    <row r="15" spans="1:3" ht="17.25" customHeight="1">
      <c r="A15" s="902"/>
      <c r="B15" s="25" t="s">
        <v>18</v>
      </c>
      <c r="C15" s="52">
        <v>0</v>
      </c>
    </row>
    <row r="16" spans="1:3" ht="24.75" customHeight="1">
      <c r="A16" s="897">
        <v>2</v>
      </c>
      <c r="B16" s="898" t="s">
        <v>205</v>
      </c>
      <c r="C16" s="899"/>
    </row>
    <row r="17" spans="1:3">
      <c r="A17" s="897"/>
      <c r="B17" s="25" t="s">
        <v>17</v>
      </c>
      <c r="C17" s="52">
        <v>0</v>
      </c>
    </row>
    <row r="18" spans="1:3">
      <c r="A18" s="897"/>
      <c r="B18" s="25" t="s">
        <v>18</v>
      </c>
      <c r="C18" s="52">
        <v>-16900</v>
      </c>
    </row>
    <row r="19" spans="1:3" ht="30" customHeight="1">
      <c r="A19" s="897">
        <v>3</v>
      </c>
      <c r="B19" s="898" t="s">
        <v>189</v>
      </c>
      <c r="C19" s="899"/>
    </row>
    <row r="20" spans="1:3">
      <c r="A20" s="897"/>
      <c r="B20" s="25" t="s">
        <v>17</v>
      </c>
      <c r="C20" s="52">
        <v>0</v>
      </c>
    </row>
    <row r="21" spans="1:3">
      <c r="A21" s="897"/>
      <c r="B21" s="25" t="s">
        <v>18</v>
      </c>
      <c r="C21" s="52">
        <v>-16900</v>
      </c>
    </row>
  </sheetData>
  <mergeCells count="10">
    <mergeCell ref="A6:C6"/>
    <mergeCell ref="A7:C7"/>
    <mergeCell ref="A19:A21"/>
    <mergeCell ref="B19:C19"/>
    <mergeCell ref="A9:C9"/>
    <mergeCell ref="A10:C10"/>
    <mergeCell ref="A13:A15"/>
    <mergeCell ref="B13:C13"/>
    <mergeCell ref="A16:A18"/>
    <mergeCell ref="B16:C16"/>
  </mergeCells>
  <phoneticPr fontId="13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2"/>
  <sheetViews>
    <sheetView view="pageBreakPreview" zoomScale="110" zoomScaleSheetLayoutView="110" workbookViewId="0">
      <selection activeCell="D22" sqref="A1:D22"/>
    </sheetView>
  </sheetViews>
  <sheetFormatPr defaultRowHeight="12.75"/>
  <cols>
    <col min="1" max="1" width="4.140625" style="4" customWidth="1"/>
    <col min="2" max="2" width="61.7109375" style="4" customWidth="1"/>
    <col min="3" max="3" width="16.140625" style="4" customWidth="1"/>
    <col min="4" max="4" width="10.5703125" style="4" customWidth="1"/>
    <col min="5" max="16384" width="9.140625" style="4"/>
  </cols>
  <sheetData>
    <row r="1" spans="1:4">
      <c r="B1" s="866" t="s">
        <v>597</v>
      </c>
      <c r="C1" s="866"/>
      <c r="D1" s="866"/>
    </row>
    <row r="2" spans="1:4">
      <c r="B2" s="866" t="s">
        <v>204</v>
      </c>
      <c r="C2" s="866"/>
      <c r="D2" s="866"/>
    </row>
    <row r="3" spans="1:4">
      <c r="B3" s="866" t="s">
        <v>119</v>
      </c>
      <c r="C3" s="866"/>
      <c r="D3" s="866"/>
    </row>
    <row r="4" spans="1:4">
      <c r="B4" s="866" t="s">
        <v>153</v>
      </c>
      <c r="C4" s="866"/>
      <c r="D4" s="866"/>
    </row>
    <row r="5" spans="1:4">
      <c r="B5" s="866" t="s">
        <v>196</v>
      </c>
      <c r="C5" s="866"/>
      <c r="D5" s="866"/>
    </row>
    <row r="6" spans="1:4">
      <c r="B6" s="866" t="s">
        <v>846</v>
      </c>
      <c r="C6" s="866"/>
      <c r="D6" s="866"/>
    </row>
    <row r="7" spans="1:4">
      <c r="B7" s="896" t="s">
        <v>1156</v>
      </c>
      <c r="C7" s="896"/>
      <c r="D7" s="896"/>
    </row>
    <row r="8" spans="1:4">
      <c r="C8" s="50"/>
    </row>
    <row r="9" spans="1:4" ht="36" customHeight="1">
      <c r="A9" s="900" t="s">
        <v>1079</v>
      </c>
      <c r="B9" s="900"/>
      <c r="C9" s="900"/>
    </row>
    <row r="10" spans="1:4">
      <c r="A10" s="901"/>
      <c r="B10" s="901"/>
      <c r="C10" s="901"/>
    </row>
    <row r="11" spans="1:4">
      <c r="D11" s="29" t="s">
        <v>155</v>
      </c>
    </row>
    <row r="12" spans="1:4">
      <c r="A12" s="903" t="s">
        <v>368</v>
      </c>
      <c r="B12" s="903" t="s">
        <v>16</v>
      </c>
      <c r="C12" s="489" t="s">
        <v>782</v>
      </c>
      <c r="D12" s="489" t="s">
        <v>1103</v>
      </c>
    </row>
    <row r="13" spans="1:4" ht="15.75" customHeight="1">
      <c r="A13" s="904"/>
      <c r="B13" s="904"/>
      <c r="C13" s="35" t="s">
        <v>214</v>
      </c>
      <c r="D13" s="35" t="s">
        <v>214</v>
      </c>
    </row>
    <row r="14" spans="1:4">
      <c r="A14" s="902">
        <v>1</v>
      </c>
      <c r="B14" s="898" t="s">
        <v>19</v>
      </c>
      <c r="C14" s="899"/>
      <c r="D14" s="47"/>
    </row>
    <row r="15" spans="1:4">
      <c r="A15" s="902"/>
      <c r="B15" s="25" t="s">
        <v>17</v>
      </c>
      <c r="C15" s="582">
        <v>0</v>
      </c>
      <c r="D15" s="581">
        <v>0</v>
      </c>
    </row>
    <row r="16" spans="1:4" ht="17.25" customHeight="1">
      <c r="A16" s="902"/>
      <c r="B16" s="25" t="s">
        <v>18</v>
      </c>
      <c r="C16" s="582">
        <v>0</v>
      </c>
      <c r="D16" s="581">
        <v>0</v>
      </c>
    </row>
    <row r="17" spans="1:4" ht="24.75" customHeight="1">
      <c r="A17" s="897">
        <v>2</v>
      </c>
      <c r="B17" s="898" t="s">
        <v>205</v>
      </c>
      <c r="C17" s="905"/>
      <c r="D17" s="899"/>
    </row>
    <row r="18" spans="1:4" ht="18.75" customHeight="1">
      <c r="A18" s="897"/>
      <c r="B18" s="25" t="s">
        <v>17</v>
      </c>
      <c r="C18" s="792">
        <v>0</v>
      </c>
      <c r="D18" s="580">
        <v>0</v>
      </c>
    </row>
    <row r="19" spans="1:4" ht="14.25" customHeight="1">
      <c r="A19" s="897"/>
      <c r="B19" s="25" t="s">
        <v>18</v>
      </c>
      <c r="C19" s="792">
        <v>0</v>
      </c>
      <c r="D19" s="580">
        <v>0</v>
      </c>
    </row>
    <row r="20" spans="1:4" ht="30" customHeight="1">
      <c r="A20" s="897">
        <v>3</v>
      </c>
      <c r="B20" s="898" t="s">
        <v>189</v>
      </c>
      <c r="C20" s="899"/>
      <c r="D20" s="35"/>
    </row>
    <row r="21" spans="1:4">
      <c r="A21" s="897"/>
      <c r="B21" s="25" t="s">
        <v>17</v>
      </c>
      <c r="C21" s="52">
        <v>0</v>
      </c>
      <c r="D21" s="52">
        <v>0</v>
      </c>
    </row>
    <row r="22" spans="1:4">
      <c r="A22" s="897"/>
      <c r="B22" s="25" t="s">
        <v>18</v>
      </c>
      <c r="C22" s="52">
        <v>0</v>
      </c>
      <c r="D22" s="52">
        <v>0</v>
      </c>
    </row>
  </sheetData>
  <mergeCells count="17">
    <mergeCell ref="B1:D1"/>
    <mergeCell ref="B2:D2"/>
    <mergeCell ref="B3:D3"/>
    <mergeCell ref="B4:D4"/>
    <mergeCell ref="B5:D5"/>
    <mergeCell ref="A20:A22"/>
    <mergeCell ref="B20:C20"/>
    <mergeCell ref="A12:A13"/>
    <mergeCell ref="B12:B13"/>
    <mergeCell ref="B6:D6"/>
    <mergeCell ref="B7:D7"/>
    <mergeCell ref="A9:C9"/>
    <mergeCell ref="A10:C10"/>
    <mergeCell ref="A14:A16"/>
    <mergeCell ref="B14:C14"/>
    <mergeCell ref="A17:A19"/>
    <mergeCell ref="B17:D17"/>
  </mergeCells>
  <pageMargins left="0.7" right="0.7" top="0.75" bottom="0.75" header="0.3" footer="0.3"/>
  <pageSetup paperSize="9"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2"/>
  <sheetViews>
    <sheetView view="pageBreakPreview" zoomScale="90" zoomScaleSheetLayoutView="90" workbookViewId="0">
      <selection activeCell="G144" sqref="A1:G144"/>
    </sheetView>
  </sheetViews>
  <sheetFormatPr defaultRowHeight="12.75"/>
  <cols>
    <col min="1" max="1" width="9.140625" style="4"/>
    <col min="2" max="2" width="59.85546875" style="4" customWidth="1"/>
    <col min="3" max="3" width="18.5703125" style="61" customWidth="1"/>
    <col min="4" max="4" width="37.140625" style="4" hidden="1" customWidth="1"/>
    <col min="5" max="5" width="18.5703125" style="4" hidden="1" customWidth="1"/>
    <col min="6" max="6" width="30.42578125" style="4" hidden="1" customWidth="1"/>
    <col min="7" max="7" width="13.5703125" style="4" customWidth="1"/>
    <col min="8" max="8" width="10.5703125" style="4" customWidth="1"/>
    <col min="9" max="9" width="11.28515625" style="4" customWidth="1"/>
    <col min="10" max="10" width="15.28515625" style="4" customWidth="1"/>
    <col min="11" max="11" width="9.140625" style="4"/>
    <col min="12" max="12" width="15.85546875" style="4" customWidth="1"/>
    <col min="13" max="16384" width="9.140625" style="4"/>
  </cols>
  <sheetData>
    <row r="1" spans="1:7">
      <c r="C1" s="44" t="s">
        <v>598</v>
      </c>
    </row>
    <row r="2" spans="1:7">
      <c r="C2" s="44" t="s">
        <v>204</v>
      </c>
    </row>
    <row r="3" spans="1:7">
      <c r="C3" s="44" t="s">
        <v>306</v>
      </c>
    </row>
    <row r="4" spans="1:7">
      <c r="A4" s="29"/>
      <c r="C4" s="44" t="s">
        <v>153</v>
      </c>
    </row>
    <row r="5" spans="1:7">
      <c r="A5" s="37"/>
      <c r="C5" s="44" t="s">
        <v>307</v>
      </c>
    </row>
    <row r="6" spans="1:7">
      <c r="A6" s="866" t="s">
        <v>846</v>
      </c>
      <c r="B6" s="866"/>
      <c r="C6" s="866"/>
      <c r="D6" s="866"/>
    </row>
    <row r="7" spans="1:7">
      <c r="A7" s="38"/>
      <c r="B7" s="896" t="s">
        <v>1097</v>
      </c>
      <c r="C7" s="907"/>
    </row>
    <row r="8" spans="1:7">
      <c r="A8" s="24"/>
      <c r="B8" s="24"/>
      <c r="C8" s="53"/>
    </row>
    <row r="9" spans="1:7">
      <c r="A9" s="28"/>
      <c r="B9" s="28"/>
      <c r="C9" s="54"/>
      <c r="E9" s="51"/>
      <c r="F9" s="51"/>
      <c r="G9" s="537"/>
    </row>
    <row r="10" spans="1:7" ht="17.25" customHeight="1">
      <c r="A10" s="900" t="s">
        <v>303</v>
      </c>
      <c r="B10" s="900"/>
      <c r="C10" s="900"/>
      <c r="E10" s="51"/>
      <c r="F10" s="51"/>
      <c r="G10" s="537"/>
    </row>
    <row r="11" spans="1:7">
      <c r="A11" s="28"/>
      <c r="B11" s="28"/>
      <c r="C11" s="511" t="s">
        <v>190</v>
      </c>
      <c r="E11" s="51"/>
      <c r="F11" s="51"/>
      <c r="G11" s="537"/>
    </row>
    <row r="12" spans="1:7" ht="7.5" customHeight="1">
      <c r="A12" s="28"/>
      <c r="B12" s="28"/>
      <c r="C12" s="54"/>
      <c r="E12" s="51"/>
      <c r="F12" s="51"/>
      <c r="G12" s="537"/>
    </row>
    <row r="13" spans="1:7" ht="33" customHeight="1">
      <c r="A13" s="908" t="s">
        <v>1158</v>
      </c>
      <c r="B13" s="908"/>
      <c r="C13" s="908"/>
      <c r="E13" s="51"/>
      <c r="F13" s="51"/>
      <c r="G13" s="537"/>
    </row>
    <row r="14" spans="1:7">
      <c r="A14" s="40"/>
      <c r="C14" s="44" t="s">
        <v>155</v>
      </c>
      <c r="E14" s="900"/>
      <c r="F14" s="900"/>
      <c r="G14" s="655"/>
    </row>
    <row r="15" spans="1:7" ht="21" customHeight="1">
      <c r="A15" s="654" t="s">
        <v>368</v>
      </c>
      <c r="B15" s="654" t="s">
        <v>209</v>
      </c>
      <c r="C15" s="46" t="s">
        <v>81</v>
      </c>
      <c r="E15" s="56"/>
      <c r="F15" s="57"/>
      <c r="G15" s="57"/>
    </row>
    <row r="16" spans="1:7" ht="21" customHeight="1">
      <c r="A16" s="797">
        <v>1</v>
      </c>
      <c r="B16" s="59" t="s">
        <v>278</v>
      </c>
      <c r="C16" s="226">
        <v>1.4</v>
      </c>
      <c r="E16" s="56"/>
      <c r="F16" s="57"/>
      <c r="G16" s="57"/>
    </row>
    <row r="17" spans="1:7" ht="21" customHeight="1">
      <c r="A17" s="797">
        <v>2</v>
      </c>
      <c r="B17" s="59" t="s">
        <v>279</v>
      </c>
      <c r="C17" s="226">
        <v>3.3</v>
      </c>
      <c r="E17" s="56"/>
      <c r="F17" s="57"/>
      <c r="G17" s="57"/>
    </row>
    <row r="18" spans="1:7" ht="21" customHeight="1">
      <c r="A18" s="797">
        <v>3</v>
      </c>
      <c r="B18" s="59" t="s">
        <v>280</v>
      </c>
      <c r="C18" s="226">
        <v>1.5</v>
      </c>
      <c r="E18" s="56"/>
      <c r="F18" s="57"/>
      <c r="G18" s="57"/>
    </row>
    <row r="19" spans="1:7" ht="21" customHeight="1">
      <c r="A19" s="797">
        <v>4</v>
      </c>
      <c r="B19" s="59" t="s">
        <v>294</v>
      </c>
      <c r="C19" s="226">
        <v>3.2</v>
      </c>
      <c r="E19" s="56"/>
      <c r="F19" s="57"/>
      <c r="G19" s="57"/>
    </row>
    <row r="20" spans="1:7" ht="21" customHeight="1">
      <c r="A20" s="797">
        <v>5</v>
      </c>
      <c r="B20" s="59" t="s">
        <v>281</v>
      </c>
      <c r="C20" s="226">
        <v>1</v>
      </c>
      <c r="E20" s="56"/>
      <c r="F20" s="57"/>
      <c r="G20" s="57"/>
    </row>
    <row r="21" spans="1:7" ht="21" customHeight="1">
      <c r="A21" s="797">
        <v>6</v>
      </c>
      <c r="B21" s="59" t="s">
        <v>283</v>
      </c>
      <c r="C21" s="226">
        <v>1.2</v>
      </c>
      <c r="E21" s="56"/>
      <c r="F21" s="57"/>
      <c r="G21" s="57"/>
    </row>
    <row r="22" spans="1:7" ht="21" customHeight="1">
      <c r="A22" s="797">
        <v>7</v>
      </c>
      <c r="B22" s="59" t="s">
        <v>284</v>
      </c>
      <c r="C22" s="795">
        <v>0.9</v>
      </c>
      <c r="E22" s="56"/>
      <c r="F22" s="57"/>
      <c r="G22" s="57"/>
    </row>
    <row r="23" spans="1:7" ht="21" customHeight="1">
      <c r="A23" s="797">
        <v>8</v>
      </c>
      <c r="B23" s="59" t="s">
        <v>285</v>
      </c>
      <c r="C23" s="795">
        <v>0.9</v>
      </c>
      <c r="E23" s="56"/>
      <c r="F23" s="57"/>
      <c r="G23" s="57"/>
    </row>
    <row r="24" spans="1:7" ht="21" customHeight="1">
      <c r="A24" s="797">
        <v>9</v>
      </c>
      <c r="B24" s="59" t="s">
        <v>286</v>
      </c>
      <c r="C24" s="795">
        <v>0.8</v>
      </c>
      <c r="E24" s="56"/>
      <c r="F24" s="57"/>
      <c r="G24" s="57"/>
    </row>
    <row r="25" spans="1:7" ht="21" customHeight="1">
      <c r="A25" s="797">
        <v>10</v>
      </c>
      <c r="B25" s="59" t="s">
        <v>9</v>
      </c>
      <c r="C25" s="795">
        <v>2.5</v>
      </c>
      <c r="E25" s="56"/>
      <c r="F25" s="57"/>
      <c r="G25" s="57"/>
    </row>
    <row r="26" spans="1:7" ht="21" customHeight="1">
      <c r="A26" s="797">
        <v>11</v>
      </c>
      <c r="B26" s="59" t="s">
        <v>437</v>
      </c>
      <c r="C26" s="795">
        <v>3.5</v>
      </c>
      <c r="E26" s="56"/>
      <c r="F26" s="57"/>
      <c r="G26" s="57"/>
    </row>
    <row r="27" spans="1:7">
      <c r="A27" s="797">
        <v>12</v>
      </c>
      <c r="B27" s="59" t="s">
        <v>288</v>
      </c>
      <c r="C27" s="795">
        <v>4.3</v>
      </c>
    </row>
    <row r="28" spans="1:7">
      <c r="A28" s="797">
        <v>13</v>
      </c>
      <c r="B28" s="59" t="s">
        <v>289</v>
      </c>
      <c r="C28" s="795">
        <v>4.5999999999999996</v>
      </c>
    </row>
    <row r="29" spans="1:7">
      <c r="A29" s="797">
        <v>14</v>
      </c>
      <c r="B29" s="59" t="s">
        <v>290</v>
      </c>
      <c r="C29" s="795">
        <v>1.5</v>
      </c>
    </row>
    <row r="30" spans="1:7">
      <c r="A30" s="797">
        <v>15</v>
      </c>
      <c r="B30" s="59" t="s">
        <v>291</v>
      </c>
      <c r="C30" s="226">
        <v>1.9</v>
      </c>
    </row>
    <row r="31" spans="1:7">
      <c r="A31" s="797">
        <v>16</v>
      </c>
      <c r="B31" s="59" t="s">
        <v>434</v>
      </c>
      <c r="C31" s="226">
        <v>6.8</v>
      </c>
    </row>
    <row r="32" spans="1:7">
      <c r="A32" s="797">
        <v>17</v>
      </c>
      <c r="B32" s="59" t="s">
        <v>8</v>
      </c>
      <c r="C32" s="226">
        <v>49.2</v>
      </c>
    </row>
    <row r="33" spans="1:8">
      <c r="A33" s="605"/>
      <c r="B33" s="654" t="s">
        <v>206</v>
      </c>
      <c r="C33" s="408">
        <f>SUM(C16:C32)</f>
        <v>88.5</v>
      </c>
    </row>
    <row r="34" spans="1:8">
      <c r="A34" s="26"/>
      <c r="B34" s="28"/>
      <c r="C34" s="62"/>
    </row>
    <row r="35" spans="1:8" ht="53.25" customHeight="1">
      <c r="A35" s="852" t="s">
        <v>1105</v>
      </c>
      <c r="B35" s="906"/>
      <c r="C35" s="906"/>
    </row>
    <row r="36" spans="1:8" ht="12" customHeight="1">
      <c r="C36" s="511" t="s">
        <v>304</v>
      </c>
      <c r="D36" s="156"/>
      <c r="E36" s="219"/>
      <c r="F36" s="219"/>
      <c r="G36" s="219"/>
    </row>
    <row r="37" spans="1:8" ht="27" customHeight="1">
      <c r="A37" s="908" t="s">
        <v>763</v>
      </c>
      <c r="B37" s="908"/>
      <c r="C37" s="908"/>
      <c r="D37" s="156"/>
      <c r="E37" s="219"/>
      <c r="F37" s="219"/>
      <c r="G37" s="219"/>
    </row>
    <row r="38" spans="1:8">
      <c r="A38" s="40"/>
      <c r="C38" s="44" t="s">
        <v>155</v>
      </c>
      <c r="D38" s="156"/>
      <c r="E38" s="219"/>
      <c r="F38" s="219"/>
      <c r="G38" s="219"/>
    </row>
    <row r="39" spans="1:8" ht="49.5" customHeight="1">
      <c r="A39" s="535" t="s">
        <v>368</v>
      </c>
      <c r="B39" s="535" t="s">
        <v>209</v>
      </c>
      <c r="C39" s="46" t="s">
        <v>81</v>
      </c>
      <c r="D39" s="46" t="s">
        <v>615</v>
      </c>
      <c r="E39" s="46" t="s">
        <v>615</v>
      </c>
      <c r="F39" s="567" t="s">
        <v>615</v>
      </c>
      <c r="G39" s="622"/>
      <c r="H39" s="622"/>
    </row>
    <row r="40" spans="1:8">
      <c r="A40" s="783">
        <v>1</v>
      </c>
      <c r="B40" s="333" t="s">
        <v>278</v>
      </c>
      <c r="C40" s="796">
        <v>1261.8900000000001</v>
      </c>
      <c r="D40" s="228"/>
      <c r="E40" s="228"/>
      <c r="F40" s="609"/>
      <c r="G40" s="630"/>
      <c r="H40" s="630"/>
    </row>
    <row r="41" spans="1:8">
      <c r="A41" s="783">
        <v>2</v>
      </c>
      <c r="B41" s="333" t="s">
        <v>279</v>
      </c>
      <c r="C41" s="796">
        <v>1910.62</v>
      </c>
      <c r="D41" s="228"/>
      <c r="E41" s="228"/>
      <c r="F41" s="609"/>
      <c r="G41" s="630"/>
      <c r="H41" s="630"/>
    </row>
    <row r="42" spans="1:8">
      <c r="A42" s="783">
        <v>3</v>
      </c>
      <c r="B42" s="333" t="s">
        <v>280</v>
      </c>
      <c r="C42" s="796">
        <v>1405.48</v>
      </c>
      <c r="D42" s="228"/>
      <c r="E42" s="228"/>
      <c r="F42" s="609"/>
      <c r="G42" s="630"/>
      <c r="H42" s="630"/>
    </row>
    <row r="43" spans="1:8">
      <c r="A43" s="783">
        <v>4</v>
      </c>
      <c r="B43" s="333" t="s">
        <v>281</v>
      </c>
      <c r="C43" s="796">
        <v>1674.63</v>
      </c>
      <c r="D43" s="228"/>
      <c r="E43" s="228"/>
      <c r="F43" s="609"/>
      <c r="G43" s="630"/>
      <c r="H43" s="630"/>
    </row>
    <row r="44" spans="1:8">
      <c r="A44" s="783">
        <v>5</v>
      </c>
      <c r="B44" s="333" t="s">
        <v>282</v>
      </c>
      <c r="C44" s="796">
        <v>1851.84</v>
      </c>
      <c r="D44" s="228"/>
      <c r="E44" s="228"/>
      <c r="F44" s="609"/>
      <c r="G44" s="630"/>
      <c r="H44" s="630"/>
    </row>
    <row r="45" spans="1:8">
      <c r="A45" s="783">
        <v>6</v>
      </c>
      <c r="B45" s="333" t="s">
        <v>283</v>
      </c>
      <c r="C45" s="796">
        <v>1156.58</v>
      </c>
      <c r="D45" s="228"/>
      <c r="E45" s="228"/>
      <c r="F45" s="609"/>
      <c r="G45" s="630"/>
      <c r="H45" s="630"/>
    </row>
    <row r="46" spans="1:8">
      <c r="A46" s="783">
        <v>7</v>
      </c>
      <c r="B46" s="333" t="s">
        <v>284</v>
      </c>
      <c r="C46" s="796">
        <v>1087.23</v>
      </c>
      <c r="D46" s="228"/>
      <c r="E46" s="228"/>
      <c r="F46" s="609"/>
      <c r="G46" s="630"/>
      <c r="H46" s="630"/>
    </row>
    <row r="47" spans="1:8">
      <c r="A47" s="783">
        <v>8</v>
      </c>
      <c r="B47" s="333" t="s">
        <v>285</v>
      </c>
      <c r="C47" s="796">
        <v>767.62</v>
      </c>
      <c r="D47" s="228"/>
      <c r="E47" s="228"/>
      <c r="F47" s="609"/>
      <c r="G47" s="630"/>
      <c r="H47" s="630"/>
    </row>
    <row r="48" spans="1:8">
      <c r="A48" s="783">
        <v>9</v>
      </c>
      <c r="B48" s="333" t="s">
        <v>286</v>
      </c>
      <c r="C48" s="796">
        <v>979.53</v>
      </c>
      <c r="D48" s="228"/>
      <c r="E48" s="228"/>
      <c r="F48" s="609"/>
      <c r="G48" s="630"/>
      <c r="H48" s="630"/>
    </row>
    <row r="49" spans="1:9">
      <c r="A49" s="783">
        <v>10</v>
      </c>
      <c r="B49" s="333" t="s">
        <v>287</v>
      </c>
      <c r="C49" s="796">
        <v>3407.65</v>
      </c>
      <c r="D49" s="228"/>
      <c r="E49" s="228"/>
      <c r="F49" s="609"/>
      <c r="G49" s="630"/>
      <c r="H49" s="630"/>
    </row>
    <row r="50" spans="1:9">
      <c r="A50" s="783">
        <v>11</v>
      </c>
      <c r="B50" s="333" t="s">
        <v>292</v>
      </c>
      <c r="C50" s="796">
        <v>1851.76</v>
      </c>
      <c r="D50" s="228"/>
      <c r="E50" s="228"/>
      <c r="F50" s="609"/>
      <c r="G50" s="630"/>
      <c r="H50" s="630"/>
    </row>
    <row r="51" spans="1:9">
      <c r="A51" s="783">
        <v>12</v>
      </c>
      <c r="B51" s="333" t="s">
        <v>288</v>
      </c>
      <c r="C51" s="796">
        <v>1835.93</v>
      </c>
      <c r="D51" s="228"/>
      <c r="E51" s="228"/>
      <c r="F51" s="609"/>
      <c r="G51" s="630"/>
      <c r="H51" s="630"/>
    </row>
    <row r="52" spans="1:9">
      <c r="A52" s="783">
        <v>13</v>
      </c>
      <c r="B52" s="333" t="s">
        <v>289</v>
      </c>
      <c r="C52" s="796">
        <v>1990.89</v>
      </c>
      <c r="D52" s="228"/>
      <c r="E52" s="228"/>
      <c r="F52" s="609"/>
      <c r="G52" s="630"/>
      <c r="H52" s="630"/>
    </row>
    <row r="53" spans="1:9">
      <c r="A53" s="783">
        <v>14</v>
      </c>
      <c r="B53" s="333" t="s">
        <v>290</v>
      </c>
      <c r="C53" s="796">
        <v>1336.43</v>
      </c>
      <c r="D53" s="228"/>
      <c r="E53" s="228"/>
      <c r="F53" s="609"/>
      <c r="G53" s="630"/>
      <c r="H53" s="630"/>
    </row>
    <row r="54" spans="1:9">
      <c r="A54" s="783">
        <v>15</v>
      </c>
      <c r="B54" s="333" t="s">
        <v>291</v>
      </c>
      <c r="C54" s="796">
        <v>1437.42</v>
      </c>
      <c r="D54" s="228"/>
      <c r="E54" s="228"/>
      <c r="F54" s="609"/>
      <c r="G54" s="630"/>
      <c r="H54" s="630"/>
    </row>
    <row r="55" spans="1:9">
      <c r="A55" s="534"/>
      <c r="B55" s="212" t="s">
        <v>206</v>
      </c>
      <c r="C55" s="407">
        <f>SUM(C40:C54)</f>
        <v>23955.5</v>
      </c>
      <c r="D55" s="228"/>
      <c r="E55" s="228"/>
      <c r="F55" s="609"/>
      <c r="G55" s="428"/>
      <c r="H55" s="428"/>
      <c r="I55" s="239"/>
    </row>
    <row r="56" spans="1:9">
      <c r="C56" s="55"/>
      <c r="E56" s="26"/>
      <c r="F56" s="26"/>
      <c r="G56" s="26"/>
    </row>
    <row r="57" spans="1:9" ht="16.5" customHeight="1">
      <c r="A57" s="42"/>
      <c r="B57" s="560"/>
      <c r="C57" s="568"/>
      <c r="H57" s="568"/>
    </row>
    <row r="58" spans="1:9" ht="14.25" customHeight="1">
      <c r="C58" s="604" t="s">
        <v>1166</v>
      </c>
    </row>
    <row r="59" spans="1:9" ht="51" customHeight="1">
      <c r="A59" s="909" t="s">
        <v>1157</v>
      </c>
      <c r="B59" s="909"/>
      <c r="C59" s="909"/>
      <c r="D59" s="26"/>
      <c r="E59" s="26"/>
      <c r="F59" s="26"/>
      <c r="G59" s="26"/>
      <c r="H59" s="26"/>
    </row>
    <row r="60" spans="1:9">
      <c r="C60" s="61" t="s">
        <v>155</v>
      </c>
    </row>
    <row r="61" spans="1:9">
      <c r="A61" s="777" t="s">
        <v>368</v>
      </c>
      <c r="B61" s="777" t="s">
        <v>209</v>
      </c>
      <c r="C61" s="777" t="s">
        <v>81</v>
      </c>
    </row>
    <row r="62" spans="1:9" ht="15">
      <c r="A62" s="793">
        <v>1</v>
      </c>
      <c r="B62" s="793" t="s">
        <v>278</v>
      </c>
      <c r="C62" s="801">
        <v>104.90472</v>
      </c>
    </row>
    <row r="63" spans="1:9">
      <c r="A63" s="605">
        <v>2</v>
      </c>
      <c r="B63" s="605" t="s">
        <v>279</v>
      </c>
      <c r="C63" s="802">
        <v>190.64250000000001</v>
      </c>
    </row>
    <row r="64" spans="1:9">
      <c r="A64" s="605">
        <v>3</v>
      </c>
      <c r="B64" s="605" t="s">
        <v>280</v>
      </c>
      <c r="C64" s="802">
        <v>138.36276000000001</v>
      </c>
    </row>
    <row r="65" spans="1:3">
      <c r="A65" s="605">
        <v>4</v>
      </c>
      <c r="B65" s="605" t="s">
        <v>281</v>
      </c>
      <c r="C65" s="802">
        <v>119.7792</v>
      </c>
    </row>
    <row r="66" spans="1:3">
      <c r="A66" s="605">
        <v>5</v>
      </c>
      <c r="B66" s="605" t="s">
        <v>282</v>
      </c>
      <c r="C66" s="802">
        <v>160.947</v>
      </c>
    </row>
    <row r="67" spans="1:3">
      <c r="A67" s="605">
        <v>6</v>
      </c>
      <c r="B67" s="605" t="s">
        <v>283</v>
      </c>
      <c r="C67" s="802">
        <v>151.63470000000001</v>
      </c>
    </row>
    <row r="68" spans="1:3">
      <c r="A68" s="605">
        <v>7</v>
      </c>
      <c r="B68" s="605" t="s">
        <v>284</v>
      </c>
      <c r="C68" s="802">
        <v>125.86427999999999</v>
      </c>
    </row>
    <row r="69" spans="1:3">
      <c r="A69" s="605">
        <v>8</v>
      </c>
      <c r="B69" s="605" t="s">
        <v>285</v>
      </c>
      <c r="C69" s="802">
        <v>119.7792</v>
      </c>
    </row>
    <row r="70" spans="1:3">
      <c r="A70" s="605">
        <v>9</v>
      </c>
      <c r="B70" s="605" t="s">
        <v>286</v>
      </c>
      <c r="C70" s="802">
        <v>119.7792</v>
      </c>
    </row>
    <row r="71" spans="1:3">
      <c r="A71" s="605">
        <v>10</v>
      </c>
      <c r="B71" s="605" t="s">
        <v>287</v>
      </c>
      <c r="C71" s="802">
        <v>200.00484</v>
      </c>
    </row>
    <row r="72" spans="1:3">
      <c r="A72" s="605">
        <v>11</v>
      </c>
      <c r="B72" s="605" t="s">
        <v>292</v>
      </c>
      <c r="C72" s="802">
        <v>230.42088000000001</v>
      </c>
    </row>
    <row r="73" spans="1:3">
      <c r="A73" s="605">
        <v>12</v>
      </c>
      <c r="B73" s="605" t="s">
        <v>288</v>
      </c>
      <c r="C73" s="802">
        <v>115.48872</v>
      </c>
    </row>
    <row r="74" spans="1:3">
      <c r="A74" s="605">
        <v>13</v>
      </c>
      <c r="B74" s="605" t="s">
        <v>289</v>
      </c>
      <c r="C74" s="802">
        <v>166.33655999999999</v>
      </c>
    </row>
    <row r="75" spans="1:3">
      <c r="A75" s="605">
        <v>14</v>
      </c>
      <c r="B75" s="605" t="s">
        <v>290</v>
      </c>
      <c r="C75" s="802">
        <v>104.22972</v>
      </c>
    </row>
    <row r="76" spans="1:3">
      <c r="A76" s="605">
        <v>15</v>
      </c>
      <c r="B76" s="605" t="s">
        <v>291</v>
      </c>
      <c r="C76" s="802">
        <v>183.1302</v>
      </c>
    </row>
    <row r="77" spans="1:3">
      <c r="A77" s="605">
        <v>16</v>
      </c>
      <c r="B77" s="605" t="s">
        <v>434</v>
      </c>
      <c r="C77" s="802">
        <v>115.48872</v>
      </c>
    </row>
    <row r="78" spans="1:3">
      <c r="A78" s="794"/>
      <c r="B78" s="794" t="s">
        <v>206</v>
      </c>
      <c r="C78" s="800">
        <f>SUM(C62:C77)</f>
        <v>2346.7931999999996</v>
      </c>
    </row>
    <row r="81" spans="1:3">
      <c r="C81" s="604" t="s">
        <v>1169</v>
      </c>
    </row>
    <row r="82" spans="1:3" ht="48" customHeight="1">
      <c r="A82" s="909" t="s">
        <v>1167</v>
      </c>
      <c r="B82" s="909"/>
      <c r="C82" s="909"/>
    </row>
    <row r="83" spans="1:3">
      <c r="C83" s="61" t="s">
        <v>155</v>
      </c>
    </row>
    <row r="84" spans="1:3">
      <c r="A84" s="799" t="s">
        <v>368</v>
      </c>
      <c r="B84" s="799" t="s">
        <v>209</v>
      </c>
      <c r="C84" s="799" t="s">
        <v>81</v>
      </c>
    </row>
    <row r="85" spans="1:3" ht="15">
      <c r="A85" s="793">
        <v>1</v>
      </c>
      <c r="B85" s="793" t="s">
        <v>278</v>
      </c>
      <c r="C85" s="802">
        <v>149.24814000000001</v>
      </c>
    </row>
    <row r="86" spans="1:3">
      <c r="A86" s="605">
        <v>2</v>
      </c>
      <c r="B86" s="605" t="s">
        <v>279</v>
      </c>
      <c r="C86" s="802">
        <v>250.24253999999999</v>
      </c>
    </row>
    <row r="87" spans="1:3">
      <c r="A87" s="605">
        <v>3</v>
      </c>
      <c r="B87" s="605" t="s">
        <v>280</v>
      </c>
      <c r="C87" s="802">
        <v>145.49061</v>
      </c>
    </row>
    <row r="88" spans="1:3">
      <c r="A88" s="605">
        <v>4</v>
      </c>
      <c r="B88" s="605" t="s">
        <v>281</v>
      </c>
      <c r="C88" s="802">
        <v>34.6541</v>
      </c>
    </row>
    <row r="89" spans="1:3">
      <c r="A89" s="605">
        <v>5</v>
      </c>
      <c r="B89" s="605" t="s">
        <v>282</v>
      </c>
      <c r="C89" s="802">
        <v>219.46422000000001</v>
      </c>
    </row>
    <row r="90" spans="1:3">
      <c r="A90" s="605">
        <v>6</v>
      </c>
      <c r="B90" s="605" t="s">
        <v>283</v>
      </c>
      <c r="C90" s="802">
        <v>154.98581999999999</v>
      </c>
    </row>
    <row r="91" spans="1:3">
      <c r="A91" s="605">
        <v>7</v>
      </c>
      <c r="B91" s="605" t="s">
        <v>284</v>
      </c>
      <c r="C91" s="802">
        <v>15.03185</v>
      </c>
    </row>
    <row r="92" spans="1:3">
      <c r="A92" s="605">
        <v>8</v>
      </c>
      <c r="B92" s="605" t="s">
        <v>285</v>
      </c>
      <c r="C92" s="802">
        <v>352.54106000000002</v>
      </c>
    </row>
    <row r="93" spans="1:3">
      <c r="A93" s="605">
        <v>9</v>
      </c>
      <c r="B93" s="605" t="s">
        <v>286</v>
      </c>
      <c r="C93" s="802">
        <v>228.08426</v>
      </c>
    </row>
    <row r="94" spans="1:3">
      <c r="A94" s="605">
        <v>10</v>
      </c>
      <c r="B94" s="605" t="s">
        <v>287</v>
      </c>
      <c r="C94" s="802">
        <v>638.99297000000001</v>
      </c>
    </row>
    <row r="95" spans="1:3">
      <c r="A95" s="605">
        <v>11</v>
      </c>
      <c r="B95" s="605" t="s">
        <v>292</v>
      </c>
      <c r="C95" s="802">
        <v>121.54853</v>
      </c>
    </row>
    <row r="96" spans="1:3">
      <c r="A96" s="605">
        <v>12</v>
      </c>
      <c r="B96" s="605" t="s">
        <v>288</v>
      </c>
      <c r="C96" s="802">
        <v>315.10649999999998</v>
      </c>
    </row>
    <row r="97" spans="1:3">
      <c r="A97" s="605">
        <v>13</v>
      </c>
      <c r="B97" s="605" t="s">
        <v>289</v>
      </c>
      <c r="C97" s="802">
        <v>542.94100000000003</v>
      </c>
    </row>
    <row r="98" spans="1:3">
      <c r="A98" s="605">
        <v>14</v>
      </c>
      <c r="B98" s="605" t="s">
        <v>290</v>
      </c>
      <c r="C98" s="802">
        <v>46.174239999999998</v>
      </c>
    </row>
    <row r="99" spans="1:3">
      <c r="A99" s="605">
        <v>15</v>
      </c>
      <c r="B99" s="605" t="s">
        <v>291</v>
      </c>
      <c r="C99" s="802">
        <v>149.67982000000001</v>
      </c>
    </row>
    <row r="100" spans="1:3">
      <c r="A100" s="605">
        <v>16</v>
      </c>
      <c r="B100" s="605" t="s">
        <v>434</v>
      </c>
      <c r="C100" s="802">
        <v>60.268380000000001</v>
      </c>
    </row>
    <row r="101" spans="1:3">
      <c r="A101" s="794"/>
      <c r="B101" s="794" t="s">
        <v>206</v>
      </c>
      <c r="C101" s="800">
        <f>SUM(C85:C100)</f>
        <v>3424.4540399999992</v>
      </c>
    </row>
    <row r="104" spans="1:3">
      <c r="C104" s="604" t="s">
        <v>1170</v>
      </c>
    </row>
    <row r="105" spans="1:3" ht="63" customHeight="1">
      <c r="A105" s="909" t="s">
        <v>1168</v>
      </c>
      <c r="B105" s="909"/>
      <c r="C105" s="909"/>
    </row>
    <row r="106" spans="1:3">
      <c r="C106" s="61" t="s">
        <v>155</v>
      </c>
    </row>
    <row r="107" spans="1:3">
      <c r="A107" s="799" t="s">
        <v>368</v>
      </c>
      <c r="B107" s="799" t="s">
        <v>209</v>
      </c>
      <c r="C107" s="799" t="s">
        <v>81</v>
      </c>
    </row>
    <row r="108" spans="1:3" ht="15">
      <c r="A108" s="793">
        <v>1</v>
      </c>
      <c r="B108" s="605" t="s">
        <v>282</v>
      </c>
      <c r="C108" s="802">
        <v>69.88682</v>
      </c>
    </row>
    <row r="109" spans="1:3">
      <c r="A109" s="605"/>
      <c r="B109" s="794" t="s">
        <v>206</v>
      </c>
      <c r="C109" s="800">
        <f>C108</f>
        <v>69.88682</v>
      </c>
    </row>
    <row r="112" spans="1:3">
      <c r="C112" s="604" t="s">
        <v>1235</v>
      </c>
    </row>
    <row r="113" spans="1:3" ht="32.25" customHeight="1">
      <c r="A113" s="894" t="s">
        <v>1236</v>
      </c>
      <c r="B113" s="894"/>
      <c r="C113" s="894"/>
    </row>
    <row r="114" spans="1:3">
      <c r="C114" s="61" t="s">
        <v>155</v>
      </c>
    </row>
    <row r="115" spans="1:3">
      <c r="A115" s="819" t="s">
        <v>368</v>
      </c>
      <c r="B115" s="819" t="s">
        <v>209</v>
      </c>
      <c r="C115" s="819" t="s">
        <v>81</v>
      </c>
    </row>
    <row r="116" spans="1:3" ht="15">
      <c r="A116" s="793">
        <v>1</v>
      </c>
      <c r="B116" s="605" t="s">
        <v>279</v>
      </c>
      <c r="C116" s="802">
        <v>43.35</v>
      </c>
    </row>
    <row r="117" spans="1:3">
      <c r="A117" s="605">
        <v>2</v>
      </c>
      <c r="B117" s="605" t="s">
        <v>283</v>
      </c>
      <c r="C117" s="802">
        <v>43.35</v>
      </c>
    </row>
    <row r="118" spans="1:3">
      <c r="A118" s="605">
        <v>3</v>
      </c>
      <c r="B118" s="605" t="s">
        <v>286</v>
      </c>
      <c r="C118" s="802">
        <v>75</v>
      </c>
    </row>
    <row r="119" spans="1:3">
      <c r="A119" s="794"/>
      <c r="B119" s="794" t="s">
        <v>206</v>
      </c>
      <c r="C119" s="800">
        <f>C116+C117+C118</f>
        <v>161.69999999999999</v>
      </c>
    </row>
    <row r="121" spans="1:3">
      <c r="C121" s="604" t="s">
        <v>1237</v>
      </c>
    </row>
    <row r="122" spans="1:3" ht="35.25" customHeight="1">
      <c r="A122" s="894" t="s">
        <v>1238</v>
      </c>
      <c r="B122" s="894"/>
      <c r="C122" s="894"/>
    </row>
    <row r="123" spans="1:3">
      <c r="C123" s="61" t="s">
        <v>155</v>
      </c>
    </row>
    <row r="124" spans="1:3">
      <c r="A124" s="819" t="s">
        <v>368</v>
      </c>
      <c r="B124" s="819" t="s">
        <v>209</v>
      </c>
      <c r="C124" s="819" t="s">
        <v>81</v>
      </c>
    </row>
    <row r="125" spans="1:3" ht="15">
      <c r="A125" s="793">
        <v>1</v>
      </c>
      <c r="B125" s="793" t="s">
        <v>278</v>
      </c>
      <c r="C125" s="802">
        <v>5.9223999999999997</v>
      </c>
    </row>
    <row r="126" spans="1:3">
      <c r="A126" s="605">
        <v>2</v>
      </c>
      <c r="B126" s="605" t="s">
        <v>279</v>
      </c>
      <c r="C126" s="802">
        <v>5.9223999999999997</v>
      </c>
    </row>
    <row r="127" spans="1:3">
      <c r="A127" s="605">
        <v>3</v>
      </c>
      <c r="B127" s="605" t="s">
        <v>280</v>
      </c>
      <c r="C127" s="802">
        <v>5.9223999999999997</v>
      </c>
    </row>
    <row r="128" spans="1:3">
      <c r="A128" s="605">
        <v>4</v>
      </c>
      <c r="B128" s="605" t="s">
        <v>281</v>
      </c>
      <c r="C128" s="802">
        <v>5.9223999999999997</v>
      </c>
    </row>
    <row r="129" spans="1:3">
      <c r="A129" s="605">
        <v>5</v>
      </c>
      <c r="B129" s="605" t="s">
        <v>282</v>
      </c>
      <c r="C129" s="802">
        <v>5.9223999999999997</v>
      </c>
    </row>
    <row r="130" spans="1:3">
      <c r="A130" s="605">
        <v>6</v>
      </c>
      <c r="B130" s="605" t="s">
        <v>283</v>
      </c>
      <c r="C130" s="802">
        <v>5.9223999999999997</v>
      </c>
    </row>
    <row r="131" spans="1:3">
      <c r="A131" s="605">
        <v>7</v>
      </c>
      <c r="B131" s="605" t="s">
        <v>284</v>
      </c>
      <c r="C131" s="802">
        <v>5.9223999999999997</v>
      </c>
    </row>
    <row r="132" spans="1:3">
      <c r="A132" s="605">
        <v>8</v>
      </c>
      <c r="B132" s="605" t="s">
        <v>285</v>
      </c>
      <c r="C132" s="802">
        <v>5.9223999999999997</v>
      </c>
    </row>
    <row r="133" spans="1:3">
      <c r="A133" s="605">
        <v>9</v>
      </c>
      <c r="B133" s="605" t="s">
        <v>286</v>
      </c>
      <c r="C133" s="802">
        <v>5.9223999999999997</v>
      </c>
    </row>
    <row r="134" spans="1:3">
      <c r="A134" s="605">
        <v>10</v>
      </c>
      <c r="B134" s="605" t="s">
        <v>287</v>
      </c>
      <c r="C134" s="802">
        <v>5.9223999999999997</v>
      </c>
    </row>
    <row r="135" spans="1:3">
      <c r="A135" s="605">
        <v>11</v>
      </c>
      <c r="B135" s="605" t="s">
        <v>292</v>
      </c>
      <c r="C135" s="802">
        <v>5.9223999999999997</v>
      </c>
    </row>
    <row r="136" spans="1:3">
      <c r="A136" s="605">
        <v>12</v>
      </c>
      <c r="B136" s="605" t="s">
        <v>288</v>
      </c>
      <c r="C136" s="802">
        <v>5.9223999999999997</v>
      </c>
    </row>
    <row r="137" spans="1:3">
      <c r="A137" s="605">
        <v>13</v>
      </c>
      <c r="B137" s="605" t="s">
        <v>289</v>
      </c>
      <c r="C137" s="802">
        <v>5.9223999999999997</v>
      </c>
    </row>
    <row r="138" spans="1:3">
      <c r="A138" s="605">
        <v>14</v>
      </c>
      <c r="B138" s="605" t="s">
        <v>290</v>
      </c>
      <c r="C138" s="802">
        <v>5.9223999999999997</v>
      </c>
    </row>
    <row r="139" spans="1:3">
      <c r="A139" s="605">
        <v>15</v>
      </c>
      <c r="B139" s="605" t="s">
        <v>291</v>
      </c>
      <c r="C139" s="802">
        <v>5.9223999999999997</v>
      </c>
    </row>
    <row r="140" spans="1:3">
      <c r="A140" s="605">
        <v>16</v>
      </c>
      <c r="B140" s="605" t="s">
        <v>434</v>
      </c>
      <c r="C140" s="802">
        <v>5.9223999999999997</v>
      </c>
    </row>
    <row r="141" spans="1:3">
      <c r="A141" s="605">
        <v>17</v>
      </c>
      <c r="B141" s="605" t="s">
        <v>8</v>
      </c>
      <c r="C141" s="802">
        <v>5.9223999999999997</v>
      </c>
    </row>
    <row r="142" spans="1:3">
      <c r="A142" s="794"/>
      <c r="B142" s="794" t="s">
        <v>206</v>
      </c>
      <c r="C142" s="800">
        <f>SUM(C125:C141)</f>
        <v>100.68079999999996</v>
      </c>
    </row>
  </sheetData>
  <mergeCells count="12">
    <mergeCell ref="E14:F14"/>
    <mergeCell ref="A35:C35"/>
    <mergeCell ref="A113:C113"/>
    <mergeCell ref="A122:C122"/>
    <mergeCell ref="A6:D6"/>
    <mergeCell ref="B7:C7"/>
    <mergeCell ref="A37:C37"/>
    <mergeCell ref="A13:C13"/>
    <mergeCell ref="A10:C10"/>
    <mergeCell ref="A82:C82"/>
    <mergeCell ref="A105:C105"/>
    <mergeCell ref="A59:C59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80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5"/>
  <sheetViews>
    <sheetView view="pageBreakPreview" zoomScaleSheetLayoutView="100" workbookViewId="0">
      <selection activeCell="E65" sqref="A1:F65"/>
    </sheetView>
  </sheetViews>
  <sheetFormatPr defaultRowHeight="12.75"/>
  <cols>
    <col min="1" max="1" width="9.140625" style="4"/>
    <col min="2" max="2" width="59.85546875" style="4" customWidth="1"/>
    <col min="3" max="3" width="18.5703125" style="61" customWidth="1"/>
    <col min="4" max="4" width="37.140625" style="4" hidden="1" customWidth="1"/>
    <col min="5" max="5" width="18.5703125" style="4" customWidth="1"/>
    <col min="6" max="6" width="30.42578125" style="4" customWidth="1"/>
    <col min="7" max="16384" width="9.140625" style="4"/>
  </cols>
  <sheetData>
    <row r="1" spans="1:6">
      <c r="E1" s="44" t="s">
        <v>599</v>
      </c>
    </row>
    <row r="2" spans="1:6">
      <c r="E2" s="44" t="s">
        <v>204</v>
      </c>
    </row>
    <row r="3" spans="1:6">
      <c r="E3" s="44" t="s">
        <v>306</v>
      </c>
    </row>
    <row r="4" spans="1:6">
      <c r="A4" s="29"/>
      <c r="E4" s="44" t="s">
        <v>153</v>
      </c>
    </row>
    <row r="5" spans="1:6">
      <c r="A5" s="37"/>
      <c r="E5" s="44" t="s">
        <v>307</v>
      </c>
    </row>
    <row r="6" spans="1:6">
      <c r="A6" s="38"/>
      <c r="B6" s="866" t="s">
        <v>846</v>
      </c>
      <c r="C6" s="866"/>
      <c r="D6" s="866"/>
      <c r="E6" s="866"/>
    </row>
    <row r="7" spans="1:6">
      <c r="A7" s="38"/>
      <c r="B7" s="866" t="s">
        <v>1109</v>
      </c>
      <c r="C7" s="866"/>
      <c r="D7" s="866"/>
      <c r="E7" s="866"/>
    </row>
    <row r="8" spans="1:6">
      <c r="A8" s="24"/>
      <c r="B8" s="24"/>
      <c r="C8" s="53"/>
    </row>
    <row r="9" spans="1:6" ht="39" customHeight="1">
      <c r="A9" s="852" t="s">
        <v>1108</v>
      </c>
      <c r="B9" s="852"/>
      <c r="C9" s="852"/>
      <c r="E9" s="900"/>
      <c r="F9" s="900"/>
    </row>
    <row r="10" spans="1:6">
      <c r="A10" s="28"/>
      <c r="B10" s="28"/>
      <c r="C10" s="54"/>
      <c r="E10" s="51"/>
      <c r="F10" s="51"/>
    </row>
    <row r="11" spans="1:6" ht="17.25" customHeight="1">
      <c r="A11" s="900" t="s">
        <v>303</v>
      </c>
      <c r="B11" s="900"/>
      <c r="C11" s="900"/>
      <c r="E11" s="51"/>
      <c r="F11" s="51"/>
    </row>
    <row r="12" spans="1:6" ht="8.25" customHeight="1">
      <c r="A12" s="28"/>
      <c r="B12" s="28"/>
      <c r="C12" s="54"/>
      <c r="E12" s="51"/>
      <c r="F12" s="51"/>
    </row>
    <row r="13" spans="1:6">
      <c r="A13" s="28"/>
      <c r="B13" s="28"/>
      <c r="E13" s="55" t="s">
        <v>190</v>
      </c>
      <c r="F13" s="51"/>
    </row>
    <row r="14" spans="1:6" ht="7.5" customHeight="1">
      <c r="A14" s="28"/>
      <c r="B14" s="28"/>
      <c r="C14" s="54"/>
      <c r="E14" s="51"/>
      <c r="F14" s="51"/>
    </row>
    <row r="15" spans="1:6" ht="33" customHeight="1">
      <c r="A15" s="908" t="s">
        <v>1107</v>
      </c>
      <c r="B15" s="908"/>
      <c r="C15" s="908"/>
      <c r="D15" s="908"/>
      <c r="E15" s="908"/>
      <c r="F15" s="51"/>
    </row>
    <row r="16" spans="1:6">
      <c r="A16" s="40"/>
      <c r="C16" s="4"/>
      <c r="E16" s="44" t="s">
        <v>155</v>
      </c>
      <c r="F16" s="381"/>
    </row>
    <row r="17" spans="1:6">
      <c r="A17" s="892" t="s">
        <v>368</v>
      </c>
      <c r="B17" s="892" t="s">
        <v>209</v>
      </c>
      <c r="C17" s="60" t="s">
        <v>1106</v>
      </c>
      <c r="D17" s="47"/>
      <c r="E17" s="591" t="s">
        <v>923</v>
      </c>
      <c r="F17" s="51"/>
    </row>
    <row r="18" spans="1:6" ht="21" customHeight="1">
      <c r="A18" s="893"/>
      <c r="B18" s="893"/>
      <c r="C18" s="380" t="s">
        <v>81</v>
      </c>
      <c r="E18" s="380" t="s">
        <v>81</v>
      </c>
      <c r="F18" s="57"/>
    </row>
    <row r="19" spans="1:6" ht="21" customHeight="1">
      <c r="A19" s="58">
        <v>1</v>
      </c>
      <c r="B19" s="59" t="s">
        <v>278</v>
      </c>
      <c r="C19" s="227">
        <v>1.4</v>
      </c>
      <c r="D19" s="227">
        <v>1.3</v>
      </c>
      <c r="E19" s="227">
        <v>1.5</v>
      </c>
      <c r="F19" s="57"/>
    </row>
    <row r="20" spans="1:6" ht="21" customHeight="1">
      <c r="A20" s="58">
        <v>2</v>
      </c>
      <c r="B20" s="59" t="s">
        <v>279</v>
      </c>
      <c r="C20" s="227">
        <v>3.4</v>
      </c>
      <c r="D20" s="227">
        <v>3.1</v>
      </c>
      <c r="E20" s="227">
        <v>3.5</v>
      </c>
      <c r="F20" s="57"/>
    </row>
    <row r="21" spans="1:6" ht="21" customHeight="1">
      <c r="A21" s="58">
        <v>3</v>
      </c>
      <c r="B21" s="59" t="s">
        <v>280</v>
      </c>
      <c r="C21" s="227">
        <v>1.6</v>
      </c>
      <c r="D21" s="227">
        <v>1.5</v>
      </c>
      <c r="E21" s="227">
        <v>1.7</v>
      </c>
      <c r="F21" s="57"/>
    </row>
    <row r="22" spans="1:6" ht="21" customHeight="1">
      <c r="A22" s="58">
        <v>4</v>
      </c>
      <c r="B22" s="59" t="s">
        <v>294</v>
      </c>
      <c r="C22" s="227">
        <v>3.3</v>
      </c>
      <c r="D22" s="239"/>
      <c r="E22" s="500">
        <v>3.4</v>
      </c>
      <c r="F22" s="57"/>
    </row>
    <row r="23" spans="1:6" ht="21" customHeight="1">
      <c r="A23" s="58">
        <v>5</v>
      </c>
      <c r="B23" s="59" t="s">
        <v>281</v>
      </c>
      <c r="C23" s="227">
        <v>1</v>
      </c>
      <c r="D23" s="227">
        <v>1</v>
      </c>
      <c r="E23" s="227">
        <v>1.1000000000000001</v>
      </c>
      <c r="F23" s="57"/>
    </row>
    <row r="24" spans="1:6" ht="21" customHeight="1">
      <c r="A24" s="58">
        <v>6</v>
      </c>
      <c r="B24" s="59" t="s">
        <v>283</v>
      </c>
      <c r="C24" s="227">
        <v>1.2</v>
      </c>
      <c r="D24" s="239"/>
      <c r="E24" s="500">
        <v>1.3</v>
      </c>
      <c r="F24" s="57"/>
    </row>
    <row r="25" spans="1:6" ht="21" customHeight="1">
      <c r="A25" s="58">
        <v>7</v>
      </c>
      <c r="B25" s="59" t="s">
        <v>284</v>
      </c>
      <c r="C25" s="227">
        <v>1</v>
      </c>
      <c r="D25" s="239"/>
      <c r="E25" s="500">
        <v>1</v>
      </c>
      <c r="F25" s="57" t="s">
        <v>122</v>
      </c>
    </row>
    <row r="26" spans="1:6" ht="21" customHeight="1">
      <c r="A26" s="58">
        <v>8</v>
      </c>
      <c r="B26" s="59" t="s">
        <v>285</v>
      </c>
      <c r="C26" s="227">
        <v>0.9</v>
      </c>
      <c r="D26" s="227">
        <v>0.8</v>
      </c>
      <c r="E26" s="227">
        <v>1</v>
      </c>
      <c r="F26" s="57"/>
    </row>
    <row r="27" spans="1:6" ht="21" customHeight="1">
      <c r="A27" s="58">
        <v>9</v>
      </c>
      <c r="B27" s="59" t="s">
        <v>286</v>
      </c>
      <c r="C27" s="227">
        <v>0.9</v>
      </c>
      <c r="D27" s="227">
        <v>0.8</v>
      </c>
      <c r="E27" s="227">
        <v>0.9</v>
      </c>
      <c r="F27" s="57"/>
    </row>
    <row r="28" spans="1:6" ht="21" customHeight="1">
      <c r="A28" s="58">
        <v>10</v>
      </c>
      <c r="B28" s="59" t="s">
        <v>9</v>
      </c>
      <c r="C28" s="227">
        <v>2.6</v>
      </c>
      <c r="D28" s="239"/>
      <c r="E28" s="500">
        <v>2.7</v>
      </c>
      <c r="F28" s="57"/>
    </row>
    <row r="29" spans="1:6" ht="21" customHeight="1">
      <c r="A29" s="58">
        <v>11</v>
      </c>
      <c r="B29" s="59" t="s">
        <v>437</v>
      </c>
      <c r="C29" s="227">
        <v>3.6</v>
      </c>
      <c r="D29" s="227">
        <v>3.3</v>
      </c>
      <c r="E29" s="227">
        <v>3.8</v>
      </c>
      <c r="F29" s="57"/>
    </row>
    <row r="30" spans="1:6">
      <c r="A30" s="58">
        <v>12</v>
      </c>
      <c r="B30" s="59" t="s">
        <v>288</v>
      </c>
      <c r="C30" s="227">
        <v>4.4000000000000004</v>
      </c>
      <c r="D30" s="227">
        <v>4</v>
      </c>
      <c r="E30" s="227">
        <v>4.5999999999999996</v>
      </c>
    </row>
    <row r="31" spans="1:6">
      <c r="A31" s="58">
        <v>13</v>
      </c>
      <c r="B31" s="59" t="s">
        <v>289</v>
      </c>
      <c r="C31" s="227">
        <v>4.8</v>
      </c>
      <c r="D31" s="227">
        <v>4.0999999999999996</v>
      </c>
      <c r="E31" s="227">
        <v>4.9000000000000004</v>
      </c>
    </row>
    <row r="32" spans="1:6">
      <c r="A32" s="58">
        <v>14</v>
      </c>
      <c r="B32" s="59" t="s">
        <v>290</v>
      </c>
      <c r="C32" s="227">
        <v>1.6</v>
      </c>
      <c r="D32" s="239"/>
      <c r="E32" s="415">
        <v>1.7</v>
      </c>
    </row>
    <row r="33" spans="1:6">
      <c r="A33" s="58">
        <v>15</v>
      </c>
      <c r="B33" s="59" t="s">
        <v>291</v>
      </c>
      <c r="C33" s="227">
        <v>1.9</v>
      </c>
      <c r="D33" s="227">
        <v>1.8</v>
      </c>
      <c r="E33" s="227">
        <v>2</v>
      </c>
    </row>
    <row r="34" spans="1:6">
      <c r="A34" s="58">
        <v>16</v>
      </c>
      <c r="B34" s="59" t="s">
        <v>434</v>
      </c>
      <c r="C34" s="227">
        <v>7.1</v>
      </c>
      <c r="D34" s="227">
        <v>6.3</v>
      </c>
      <c r="E34" s="227">
        <v>7.4</v>
      </c>
    </row>
    <row r="35" spans="1:6">
      <c r="A35" s="58">
        <v>17</v>
      </c>
      <c r="B35" s="59" t="s">
        <v>8</v>
      </c>
      <c r="C35" s="227">
        <v>51.3</v>
      </c>
      <c r="D35" s="227">
        <v>43.8</v>
      </c>
      <c r="E35" s="227">
        <v>53.2</v>
      </c>
    </row>
    <row r="36" spans="1:6">
      <c r="A36" s="47"/>
      <c r="B36" s="31" t="s">
        <v>206</v>
      </c>
      <c r="C36" s="408">
        <f>SUM(C19:C35)</f>
        <v>92</v>
      </c>
      <c r="D36" s="239"/>
      <c r="E36" s="415">
        <f>SUM(E19:E35)</f>
        <v>95.7</v>
      </c>
    </row>
    <row r="37" spans="1:6">
      <c r="A37" s="26"/>
      <c r="B37" s="28"/>
      <c r="C37" s="62"/>
    </row>
    <row r="38" spans="1:6" ht="12" customHeight="1">
      <c r="A38" s="910" t="s">
        <v>157</v>
      </c>
      <c r="B38" s="910"/>
      <c r="C38" s="910"/>
      <c r="E38" s="26"/>
      <c r="F38" s="26"/>
    </row>
    <row r="39" spans="1:6" ht="12" customHeight="1">
      <c r="E39" s="26"/>
      <c r="F39" s="26"/>
    </row>
    <row r="40" spans="1:6" ht="12" customHeight="1">
      <c r="D40" s="156"/>
      <c r="E40" s="55" t="s">
        <v>304</v>
      </c>
      <c r="F40" s="219"/>
    </row>
    <row r="41" spans="1:6" ht="27" customHeight="1">
      <c r="A41" s="908" t="s">
        <v>1110</v>
      </c>
      <c r="B41" s="908"/>
      <c r="C41" s="908"/>
      <c r="D41" s="908"/>
      <c r="E41" s="908"/>
      <c r="F41" s="219"/>
    </row>
    <row r="42" spans="1:6">
      <c r="A42" s="40"/>
      <c r="D42" s="156"/>
      <c r="E42" s="44" t="s">
        <v>155</v>
      </c>
      <c r="F42" s="219"/>
    </row>
    <row r="43" spans="1:6">
      <c r="A43" s="892" t="s">
        <v>368</v>
      </c>
      <c r="B43" s="892" t="s">
        <v>209</v>
      </c>
      <c r="C43" s="60" t="s">
        <v>764</v>
      </c>
      <c r="D43" s="523"/>
      <c r="E43" s="379" t="s">
        <v>1111</v>
      </c>
      <c r="F43" s="219"/>
    </row>
    <row r="44" spans="1:6" ht="21" customHeight="1">
      <c r="A44" s="893"/>
      <c r="B44" s="893"/>
      <c r="C44" s="46" t="s">
        <v>81</v>
      </c>
      <c r="D44" s="219"/>
      <c r="E44" s="46" t="s">
        <v>81</v>
      </c>
      <c r="F44" s="219"/>
    </row>
    <row r="45" spans="1:6">
      <c r="A45" s="517">
        <v>1</v>
      </c>
      <c r="B45" s="211" t="s">
        <v>278</v>
      </c>
      <c r="C45" s="408">
        <v>1278.0999999999999</v>
      </c>
      <c r="D45" s="522"/>
      <c r="E45" s="501">
        <v>1281.8</v>
      </c>
      <c r="F45" s="219"/>
    </row>
    <row r="46" spans="1:6">
      <c r="A46" s="517">
        <v>2</v>
      </c>
      <c r="B46" s="211" t="s">
        <v>279</v>
      </c>
      <c r="C46" s="408">
        <v>1924.3</v>
      </c>
      <c r="D46" s="522"/>
      <c r="E46" s="501">
        <v>1918.2</v>
      </c>
      <c r="F46" s="219"/>
    </row>
    <row r="47" spans="1:6">
      <c r="A47" s="517">
        <v>3</v>
      </c>
      <c r="B47" s="211" t="s">
        <v>280</v>
      </c>
      <c r="C47" s="408">
        <v>1197.7</v>
      </c>
      <c r="D47" s="522"/>
      <c r="E47" s="501">
        <v>1195.5</v>
      </c>
      <c r="F47" s="219"/>
    </row>
    <row r="48" spans="1:6">
      <c r="A48" s="517">
        <v>4</v>
      </c>
      <c r="B48" s="211" t="s">
        <v>281</v>
      </c>
      <c r="C48" s="408">
        <v>1707.4</v>
      </c>
      <c r="D48" s="522"/>
      <c r="E48" s="501">
        <v>1724.3</v>
      </c>
      <c r="F48" s="219"/>
    </row>
    <row r="49" spans="1:6">
      <c r="A49" s="517">
        <v>5</v>
      </c>
      <c r="B49" s="211" t="s">
        <v>282</v>
      </c>
      <c r="C49" s="408">
        <v>1860.8</v>
      </c>
      <c r="D49" s="522"/>
      <c r="E49" s="501">
        <v>1850.7</v>
      </c>
      <c r="F49" s="219"/>
    </row>
    <row r="50" spans="1:6">
      <c r="A50" s="517">
        <v>6</v>
      </c>
      <c r="B50" s="211" t="s">
        <v>283</v>
      </c>
      <c r="C50" s="408">
        <v>1156.8</v>
      </c>
      <c r="D50" s="522"/>
      <c r="E50" s="501">
        <v>1144.0999999999999</v>
      </c>
      <c r="F50" s="219"/>
    </row>
    <row r="51" spans="1:6">
      <c r="A51" s="517">
        <v>7</v>
      </c>
      <c r="B51" s="211" t="s">
        <v>284</v>
      </c>
      <c r="C51" s="408">
        <v>1111.4000000000001</v>
      </c>
      <c r="D51" s="522"/>
      <c r="E51" s="501">
        <v>1125.7</v>
      </c>
      <c r="F51" s="219"/>
    </row>
    <row r="52" spans="1:6">
      <c r="A52" s="517">
        <v>8</v>
      </c>
      <c r="B52" s="211" t="s">
        <v>285</v>
      </c>
      <c r="C52" s="408">
        <v>767.2</v>
      </c>
      <c r="D52" s="522"/>
      <c r="E52" s="501">
        <v>758.3</v>
      </c>
      <c r="F52" s="219"/>
    </row>
    <row r="53" spans="1:6">
      <c r="A53" s="517">
        <v>9</v>
      </c>
      <c r="B53" s="211" t="s">
        <v>286</v>
      </c>
      <c r="C53" s="408">
        <v>995.5</v>
      </c>
      <c r="D53" s="522"/>
      <c r="E53" s="501">
        <v>1002.3</v>
      </c>
      <c r="F53" s="219"/>
    </row>
    <row r="54" spans="1:6">
      <c r="A54" s="517">
        <v>10</v>
      </c>
      <c r="B54" s="211" t="s">
        <v>287</v>
      </c>
      <c r="C54" s="408">
        <v>3455.8</v>
      </c>
      <c r="D54" s="522"/>
      <c r="E54" s="501">
        <v>3472</v>
      </c>
      <c r="F54" s="219"/>
    </row>
    <row r="55" spans="1:6">
      <c r="A55" s="517">
        <v>11</v>
      </c>
      <c r="B55" s="211" t="s">
        <v>292</v>
      </c>
      <c r="C55" s="408">
        <v>1842.5</v>
      </c>
      <c r="D55" s="522"/>
      <c r="E55" s="501">
        <v>1834.1</v>
      </c>
      <c r="F55" s="219"/>
    </row>
    <row r="56" spans="1:6">
      <c r="A56" s="517">
        <v>12</v>
      </c>
      <c r="B56" s="211" t="s">
        <v>288</v>
      </c>
      <c r="C56" s="408">
        <v>1849.5</v>
      </c>
      <c r="D56" s="522"/>
      <c r="E56" s="501">
        <v>1844.5</v>
      </c>
      <c r="F56" s="219"/>
    </row>
    <row r="57" spans="1:6">
      <c r="A57" s="517">
        <v>13</v>
      </c>
      <c r="B57" s="211" t="s">
        <v>289</v>
      </c>
      <c r="C57" s="408">
        <v>2004.8</v>
      </c>
      <c r="D57" s="522"/>
      <c r="E57" s="501">
        <v>1958.2</v>
      </c>
      <c r="F57" s="219"/>
    </row>
    <row r="58" spans="1:6">
      <c r="A58" s="517">
        <v>14</v>
      </c>
      <c r="B58" s="211" t="s">
        <v>290</v>
      </c>
      <c r="C58" s="408">
        <v>1366</v>
      </c>
      <c r="D58" s="522"/>
      <c r="E58" s="501">
        <v>1383.4</v>
      </c>
      <c r="F58" s="219"/>
    </row>
    <row r="59" spans="1:6">
      <c r="A59" s="517">
        <v>15</v>
      </c>
      <c r="B59" s="211" t="s">
        <v>593</v>
      </c>
      <c r="C59" s="408">
        <v>1437.7</v>
      </c>
      <c r="D59" s="522"/>
      <c r="E59" s="501">
        <v>1462.4</v>
      </c>
      <c r="F59" s="219"/>
    </row>
    <row r="60" spans="1:6" ht="28.5" customHeight="1">
      <c r="A60" s="516"/>
      <c r="B60" s="212" t="s">
        <v>206</v>
      </c>
      <c r="C60" s="408">
        <f>SUM(C45:C59)</f>
        <v>23955.5</v>
      </c>
      <c r="D60" s="524"/>
      <c r="E60" s="407">
        <f>SUM(E45:E59)</f>
        <v>23955.500000000004</v>
      </c>
      <c r="F60" s="219"/>
    </row>
    <row r="61" spans="1:6">
      <c r="A61" s="26"/>
      <c r="B61" s="520"/>
      <c r="C61" s="521"/>
      <c r="D61" s="522"/>
      <c r="E61" s="428"/>
      <c r="F61" s="219"/>
    </row>
    <row r="62" spans="1:6">
      <c r="F62" s="26"/>
    </row>
    <row r="63" spans="1:6" s="199" customFormat="1" ht="15">
      <c r="A63" s="4"/>
      <c r="B63" s="4"/>
      <c r="C63" s="55"/>
      <c r="D63" s="4"/>
      <c r="E63" s="4"/>
    </row>
    <row r="64" spans="1:6">
      <c r="C64" s="604"/>
    </row>
    <row r="65" spans="1:3">
      <c r="A65" s="894"/>
      <c r="B65" s="894"/>
      <c r="C65" s="894"/>
    </row>
  </sheetData>
  <mergeCells count="13">
    <mergeCell ref="B43:B44"/>
    <mergeCell ref="A65:C65"/>
    <mergeCell ref="A41:E41"/>
    <mergeCell ref="A43:A44"/>
    <mergeCell ref="B6:E6"/>
    <mergeCell ref="A38:C38"/>
    <mergeCell ref="A9:C9"/>
    <mergeCell ref="E9:F9"/>
    <mergeCell ref="A11:C11"/>
    <mergeCell ref="A17:A18"/>
    <mergeCell ref="B17:B18"/>
    <mergeCell ref="A15:E15"/>
    <mergeCell ref="B7:E7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D86"/>
  <sheetViews>
    <sheetView view="pageBreakPreview" topLeftCell="A65" zoomScale="80" zoomScaleSheetLayoutView="80" workbookViewId="0">
      <selection sqref="A1:D80"/>
    </sheetView>
  </sheetViews>
  <sheetFormatPr defaultRowHeight="12.75"/>
  <cols>
    <col min="1" max="1" width="5.28515625" style="4" customWidth="1"/>
    <col min="2" max="2" width="9.85546875" style="29" customWidth="1"/>
    <col min="3" max="3" width="24.7109375" style="29" customWidth="1"/>
    <col min="4" max="4" width="58" style="4" customWidth="1"/>
    <col min="5" max="5" width="9.140625" style="4"/>
    <col min="6" max="6" width="9.140625" style="4" customWidth="1"/>
    <col min="7" max="16384" width="9.140625" style="4"/>
  </cols>
  <sheetData>
    <row r="1" spans="1:4">
      <c r="D1" s="822" t="s">
        <v>371</v>
      </c>
    </row>
    <row r="2" spans="1:4">
      <c r="D2" s="822" t="s">
        <v>204</v>
      </c>
    </row>
    <row r="3" spans="1:4">
      <c r="D3" s="822" t="s">
        <v>306</v>
      </c>
    </row>
    <row r="4" spans="1:4">
      <c r="D4" s="822" t="s">
        <v>153</v>
      </c>
    </row>
    <row r="5" spans="1:4">
      <c r="D5" s="822" t="s">
        <v>307</v>
      </c>
    </row>
    <row r="6" spans="1:4">
      <c r="D6" s="822" t="s">
        <v>846</v>
      </c>
    </row>
    <row r="7" spans="1:4">
      <c r="D7" s="822" t="s">
        <v>1087</v>
      </c>
    </row>
    <row r="9" spans="1:4" ht="45.75" customHeight="1">
      <c r="A9" s="830" t="s">
        <v>474</v>
      </c>
      <c r="B9" s="830"/>
      <c r="C9" s="830"/>
      <c r="D9" s="830"/>
    </row>
    <row r="10" spans="1:4">
      <c r="A10" s="844" t="s">
        <v>368</v>
      </c>
      <c r="B10" s="844" t="s">
        <v>369</v>
      </c>
      <c r="C10" s="844"/>
      <c r="D10" s="844" t="s">
        <v>209</v>
      </c>
    </row>
    <row r="11" spans="1:4" ht="15.75" customHeight="1">
      <c r="A11" s="844"/>
      <c r="B11" s="819" t="s">
        <v>370</v>
      </c>
      <c r="C11" s="819" t="s">
        <v>372</v>
      </c>
      <c r="D11" s="844"/>
    </row>
    <row r="12" spans="1:4">
      <c r="A12" s="845">
        <v>1</v>
      </c>
      <c r="B12" s="844" t="s">
        <v>169</v>
      </c>
      <c r="C12" s="844"/>
      <c r="D12" s="844"/>
    </row>
    <row r="13" spans="1:4" ht="30" customHeight="1">
      <c r="A13" s="845"/>
      <c r="B13" s="423">
        <v>931</v>
      </c>
      <c r="C13" s="788" t="s">
        <v>148</v>
      </c>
      <c r="D13" s="424" t="s">
        <v>149</v>
      </c>
    </row>
    <row r="14" spans="1:4" ht="25.5">
      <c r="A14" s="845"/>
      <c r="B14" s="820">
        <v>931</v>
      </c>
      <c r="C14" s="420" t="s">
        <v>171</v>
      </c>
      <c r="D14" s="421" t="s">
        <v>172</v>
      </c>
    </row>
    <row r="15" spans="1:4">
      <c r="A15" s="845"/>
      <c r="B15" s="820">
        <v>931</v>
      </c>
      <c r="C15" s="420" t="s">
        <v>173</v>
      </c>
      <c r="D15" s="421" t="s">
        <v>174</v>
      </c>
    </row>
    <row r="16" spans="1:4" ht="25.5">
      <c r="A16" s="845"/>
      <c r="B16" s="820">
        <v>931</v>
      </c>
      <c r="C16" s="820" t="s">
        <v>654</v>
      </c>
      <c r="D16" s="421" t="s">
        <v>175</v>
      </c>
    </row>
    <row r="17" spans="1:4" ht="25.5">
      <c r="A17" s="845"/>
      <c r="B17" s="820">
        <v>931</v>
      </c>
      <c r="C17" s="820" t="s">
        <v>655</v>
      </c>
      <c r="D17" s="421" t="s">
        <v>176</v>
      </c>
    </row>
    <row r="18" spans="1:4">
      <c r="A18" s="845"/>
      <c r="B18" s="820">
        <v>931</v>
      </c>
      <c r="C18" s="820" t="s">
        <v>656</v>
      </c>
      <c r="D18" s="421" t="s">
        <v>177</v>
      </c>
    </row>
    <row r="19" spans="1:4">
      <c r="A19" s="845"/>
      <c r="B19" s="820">
        <v>931</v>
      </c>
      <c r="C19" s="820" t="s">
        <v>657</v>
      </c>
      <c r="D19" s="421" t="s">
        <v>178</v>
      </c>
    </row>
    <row r="20" spans="1:4" ht="30" customHeight="1">
      <c r="A20" s="845"/>
      <c r="B20" s="820">
        <v>931</v>
      </c>
      <c r="C20" s="820" t="s">
        <v>658</v>
      </c>
      <c r="D20" s="421" t="s">
        <v>397</v>
      </c>
    </row>
    <row r="21" spans="1:4" ht="75.75" customHeight="1">
      <c r="A21" s="845"/>
      <c r="B21" s="820">
        <v>931</v>
      </c>
      <c r="C21" s="820" t="s">
        <v>659</v>
      </c>
      <c r="D21" s="421" t="s">
        <v>398</v>
      </c>
    </row>
    <row r="22" spans="1:4">
      <c r="A22" s="845"/>
      <c r="B22" s="846">
        <v>931</v>
      </c>
      <c r="C22" s="846" t="s">
        <v>660</v>
      </c>
      <c r="D22" s="847" t="s">
        <v>399</v>
      </c>
    </row>
    <row r="23" spans="1:4" ht="43.5" customHeight="1">
      <c r="A23" s="845"/>
      <c r="B23" s="846"/>
      <c r="C23" s="846"/>
      <c r="D23" s="847"/>
    </row>
    <row r="24" spans="1:4" ht="38.25">
      <c r="A24" s="845"/>
      <c r="B24" s="820">
        <v>931</v>
      </c>
      <c r="C24" s="820" t="s">
        <v>661</v>
      </c>
      <c r="D24" s="821" t="s">
        <v>84</v>
      </c>
    </row>
    <row r="25" spans="1:4">
      <c r="A25" s="845">
        <v>2</v>
      </c>
      <c r="B25" s="844" t="s">
        <v>428</v>
      </c>
      <c r="C25" s="844"/>
      <c r="D25" s="844"/>
    </row>
    <row r="26" spans="1:4" ht="85.5" customHeight="1">
      <c r="A26" s="845"/>
      <c r="B26" s="63">
        <v>934</v>
      </c>
      <c r="C26" s="820" t="s">
        <v>484</v>
      </c>
      <c r="D26" s="615" t="s">
        <v>485</v>
      </c>
    </row>
    <row r="27" spans="1:4" ht="67.5" customHeight="1">
      <c r="A27" s="845"/>
      <c r="B27" s="63">
        <v>934</v>
      </c>
      <c r="C27" s="820" t="s">
        <v>137</v>
      </c>
      <c r="D27" s="615" t="s">
        <v>130</v>
      </c>
    </row>
    <row r="28" spans="1:4" ht="54.75" customHeight="1">
      <c r="A28" s="845"/>
      <c r="B28" s="63">
        <v>934</v>
      </c>
      <c r="C28" s="420" t="s">
        <v>85</v>
      </c>
      <c r="D28" s="421" t="s">
        <v>86</v>
      </c>
    </row>
    <row r="29" spans="1:4" ht="46.5" customHeight="1">
      <c r="A29" s="845"/>
      <c r="B29" s="63">
        <v>934</v>
      </c>
      <c r="C29" s="420" t="s">
        <v>87</v>
      </c>
      <c r="D29" s="421" t="s">
        <v>47</v>
      </c>
    </row>
    <row r="30" spans="1:4" ht="73.5" customHeight="1">
      <c r="A30" s="845"/>
      <c r="B30" s="63">
        <v>934</v>
      </c>
      <c r="C30" s="820" t="s">
        <v>48</v>
      </c>
      <c r="D30" s="421" t="s">
        <v>49</v>
      </c>
    </row>
    <row r="31" spans="1:4" ht="25.5">
      <c r="A31" s="845"/>
      <c r="B31" s="63">
        <v>934</v>
      </c>
      <c r="C31" s="820" t="s">
        <v>148</v>
      </c>
      <c r="D31" s="615" t="s">
        <v>149</v>
      </c>
    </row>
    <row r="32" spans="1:4" ht="38.25" customHeight="1">
      <c r="A32" s="845"/>
      <c r="B32" s="63">
        <v>934</v>
      </c>
      <c r="C32" s="820" t="s">
        <v>50</v>
      </c>
      <c r="D32" s="421" t="s">
        <v>51</v>
      </c>
    </row>
    <row r="33" spans="1:4" ht="76.5">
      <c r="A33" s="845"/>
      <c r="B33" s="63">
        <v>934</v>
      </c>
      <c r="C33" s="820" t="s">
        <v>52</v>
      </c>
      <c r="D33" s="421" t="s">
        <v>53</v>
      </c>
    </row>
    <row r="34" spans="1:4" ht="38.25">
      <c r="A34" s="845"/>
      <c r="B34" s="63">
        <v>934</v>
      </c>
      <c r="C34" s="820" t="s">
        <v>486</v>
      </c>
      <c r="D34" s="421" t="s">
        <v>487</v>
      </c>
    </row>
    <row r="35" spans="1:4" ht="38.25">
      <c r="A35" s="845"/>
      <c r="B35" s="63">
        <v>934</v>
      </c>
      <c r="C35" s="820" t="s">
        <v>138</v>
      </c>
      <c r="D35" s="615" t="s">
        <v>133</v>
      </c>
    </row>
    <row r="36" spans="1:4" ht="51">
      <c r="A36" s="845"/>
      <c r="B36" s="63">
        <v>934</v>
      </c>
      <c r="C36" s="789" t="s">
        <v>1119</v>
      </c>
      <c r="D36" s="826" t="s">
        <v>1144</v>
      </c>
    </row>
    <row r="37" spans="1:4" ht="51" customHeight="1">
      <c r="A37" s="845"/>
      <c r="B37" s="63">
        <v>934</v>
      </c>
      <c r="C37" s="789" t="s">
        <v>1145</v>
      </c>
      <c r="D37" s="826" t="s">
        <v>1141</v>
      </c>
    </row>
    <row r="38" spans="1:4" ht="25.5">
      <c r="A38" s="845"/>
      <c r="B38" s="63">
        <v>934</v>
      </c>
      <c r="C38" s="820" t="s">
        <v>171</v>
      </c>
      <c r="D38" s="421" t="s">
        <v>172</v>
      </c>
    </row>
    <row r="39" spans="1:4">
      <c r="A39" s="845"/>
      <c r="B39" s="63">
        <v>934</v>
      </c>
      <c r="C39" s="420" t="s">
        <v>173</v>
      </c>
      <c r="D39" s="421" t="s">
        <v>174</v>
      </c>
    </row>
    <row r="40" spans="1:4" ht="25.5">
      <c r="A40" s="845"/>
      <c r="B40" s="63">
        <v>934</v>
      </c>
      <c r="C40" s="820" t="s">
        <v>673</v>
      </c>
      <c r="D40" s="421" t="s">
        <v>674</v>
      </c>
    </row>
    <row r="41" spans="1:4" ht="25.5">
      <c r="A41" s="845"/>
      <c r="B41" s="422">
        <v>934</v>
      </c>
      <c r="C41" s="423" t="s">
        <v>667</v>
      </c>
      <c r="D41" s="421" t="s">
        <v>668</v>
      </c>
    </row>
    <row r="42" spans="1:4" ht="25.5">
      <c r="A42" s="845"/>
      <c r="B42" s="422">
        <v>934</v>
      </c>
      <c r="C42" s="423" t="s">
        <v>669</v>
      </c>
      <c r="D42" s="425" t="s">
        <v>520</v>
      </c>
    </row>
    <row r="43" spans="1:4" ht="25.5">
      <c r="A43" s="845"/>
      <c r="B43" s="422">
        <v>934</v>
      </c>
      <c r="C43" s="423" t="s">
        <v>666</v>
      </c>
      <c r="D43" s="424" t="s">
        <v>665</v>
      </c>
    </row>
    <row r="44" spans="1:4">
      <c r="A44" s="845"/>
      <c r="B44" s="63">
        <v>934</v>
      </c>
      <c r="C44" s="820" t="s">
        <v>657</v>
      </c>
      <c r="D44" s="421" t="s">
        <v>178</v>
      </c>
    </row>
    <row r="45" spans="1:4" ht="51">
      <c r="A45" s="845"/>
      <c r="B45" s="63">
        <v>934</v>
      </c>
      <c r="C45" s="820" t="s">
        <v>670</v>
      </c>
      <c r="D45" s="421" t="s">
        <v>489</v>
      </c>
    </row>
    <row r="46" spans="1:4" ht="25.5" customHeight="1">
      <c r="A46" s="845"/>
      <c r="B46" s="63">
        <v>934</v>
      </c>
      <c r="C46" s="820" t="s">
        <v>658</v>
      </c>
      <c r="D46" s="615" t="s">
        <v>397</v>
      </c>
    </row>
    <row r="47" spans="1:4" ht="51">
      <c r="A47" s="845"/>
      <c r="B47" s="63">
        <v>934</v>
      </c>
      <c r="C47" s="820" t="s">
        <v>671</v>
      </c>
      <c r="D47" s="421" t="s">
        <v>425</v>
      </c>
    </row>
    <row r="48" spans="1:4" ht="51">
      <c r="A48" s="845"/>
      <c r="B48" s="63">
        <v>934</v>
      </c>
      <c r="C48" s="820" t="s">
        <v>659</v>
      </c>
      <c r="D48" s="421" t="s">
        <v>426</v>
      </c>
    </row>
    <row r="49" spans="1:4" ht="25.5">
      <c r="A49" s="845"/>
      <c r="B49" s="63">
        <v>934</v>
      </c>
      <c r="C49" s="820" t="s">
        <v>664</v>
      </c>
      <c r="D49" s="421" t="s">
        <v>427</v>
      </c>
    </row>
    <row r="50" spans="1:4" ht="25.5">
      <c r="A50" s="845"/>
      <c r="B50" s="63">
        <v>934</v>
      </c>
      <c r="C50" s="820" t="s">
        <v>672</v>
      </c>
      <c r="D50" s="615" t="s">
        <v>358</v>
      </c>
    </row>
    <row r="51" spans="1:4" ht="54" customHeight="1">
      <c r="A51" s="845"/>
      <c r="B51" s="63">
        <v>934</v>
      </c>
      <c r="C51" s="820" t="s">
        <v>660</v>
      </c>
      <c r="D51" s="615" t="s">
        <v>399</v>
      </c>
    </row>
    <row r="52" spans="1:4" ht="38.25">
      <c r="A52" s="845"/>
      <c r="B52" s="63">
        <v>934</v>
      </c>
      <c r="C52" s="820" t="s">
        <v>661</v>
      </c>
      <c r="D52" s="421" t="s">
        <v>84</v>
      </c>
    </row>
    <row r="53" spans="1:4" ht="54.75" customHeight="1">
      <c r="A53" s="845"/>
      <c r="B53" s="63">
        <v>934</v>
      </c>
      <c r="C53" s="820" t="s">
        <v>715</v>
      </c>
      <c r="D53" s="612" t="s">
        <v>719</v>
      </c>
    </row>
    <row r="54" spans="1:4" ht="54" customHeight="1">
      <c r="A54" s="845"/>
      <c r="B54" s="63">
        <v>934</v>
      </c>
      <c r="C54" s="820" t="s">
        <v>716</v>
      </c>
      <c r="D54" s="612" t="s">
        <v>720</v>
      </c>
    </row>
    <row r="55" spans="1:4" ht="51">
      <c r="A55" s="845"/>
      <c r="B55" s="63">
        <v>934</v>
      </c>
      <c r="C55" s="820" t="s">
        <v>717</v>
      </c>
      <c r="D55" s="612" t="s">
        <v>721</v>
      </c>
    </row>
    <row r="56" spans="1:4" ht="38.25">
      <c r="A56" s="845"/>
      <c r="B56" s="63">
        <v>934</v>
      </c>
      <c r="C56" s="820" t="s">
        <v>718</v>
      </c>
      <c r="D56" s="612" t="s">
        <v>722</v>
      </c>
    </row>
    <row r="57" spans="1:4" ht="63.75">
      <c r="A57" s="845"/>
      <c r="B57" s="63">
        <v>934</v>
      </c>
      <c r="C57" s="820" t="s">
        <v>725</v>
      </c>
      <c r="D57" s="421" t="s">
        <v>726</v>
      </c>
    </row>
    <row r="58" spans="1:4">
      <c r="A58" s="848">
        <v>3</v>
      </c>
      <c r="B58" s="844" t="s">
        <v>11</v>
      </c>
      <c r="C58" s="844"/>
      <c r="D58" s="844"/>
    </row>
    <row r="59" spans="1:4" ht="51">
      <c r="A59" s="849"/>
      <c r="B59" s="63">
        <v>936</v>
      </c>
      <c r="C59" s="420" t="s">
        <v>85</v>
      </c>
      <c r="D59" s="45" t="s">
        <v>607</v>
      </c>
    </row>
    <row r="60" spans="1:4" ht="25.5">
      <c r="A60" s="849"/>
      <c r="B60" s="63">
        <v>936</v>
      </c>
      <c r="C60" s="420" t="s">
        <v>171</v>
      </c>
      <c r="D60" s="421" t="s">
        <v>172</v>
      </c>
    </row>
    <row r="61" spans="1:4">
      <c r="A61" s="849"/>
      <c r="B61" s="63">
        <v>936</v>
      </c>
      <c r="C61" s="420" t="s">
        <v>173</v>
      </c>
      <c r="D61" s="421" t="s">
        <v>174</v>
      </c>
    </row>
    <row r="62" spans="1:4" ht="45.75" customHeight="1">
      <c r="A62" s="849"/>
      <c r="B62" s="422">
        <v>936</v>
      </c>
      <c r="C62" s="423" t="s">
        <v>675</v>
      </c>
      <c r="D62" s="424" t="s">
        <v>516</v>
      </c>
    </row>
    <row r="63" spans="1:4" ht="48.75" customHeight="1">
      <c r="A63" s="849"/>
      <c r="B63" s="422">
        <v>936</v>
      </c>
      <c r="C63" s="423" t="s">
        <v>676</v>
      </c>
      <c r="D63" s="424" t="s">
        <v>608</v>
      </c>
    </row>
    <row r="64" spans="1:4" ht="47.25" customHeight="1">
      <c r="A64" s="849"/>
      <c r="B64" s="422">
        <v>936</v>
      </c>
      <c r="C64" s="423" t="s">
        <v>677</v>
      </c>
      <c r="D64" s="424" t="s">
        <v>519</v>
      </c>
    </row>
    <row r="65" spans="1:4" ht="27" customHeight="1">
      <c r="A65" s="849"/>
      <c r="B65" s="63">
        <v>936</v>
      </c>
      <c r="C65" s="820" t="s">
        <v>657</v>
      </c>
      <c r="D65" s="421" t="s">
        <v>178</v>
      </c>
    </row>
    <row r="66" spans="1:4" ht="25.5">
      <c r="A66" s="849"/>
      <c r="B66" s="63">
        <v>936</v>
      </c>
      <c r="C66" s="820" t="s">
        <v>678</v>
      </c>
      <c r="D66" s="615" t="s">
        <v>359</v>
      </c>
    </row>
    <row r="67" spans="1:4" ht="25.5">
      <c r="A67" s="849"/>
      <c r="B67" s="63">
        <v>936</v>
      </c>
      <c r="C67" s="820" t="s">
        <v>658</v>
      </c>
      <c r="D67" s="615" t="s">
        <v>397</v>
      </c>
    </row>
    <row r="68" spans="1:4">
      <c r="A68" s="849"/>
      <c r="B68" s="63">
        <v>936</v>
      </c>
      <c r="C68" s="820" t="s">
        <v>679</v>
      </c>
      <c r="D68" s="615" t="s">
        <v>139</v>
      </c>
    </row>
    <row r="69" spans="1:4" ht="25.5">
      <c r="A69" s="849"/>
      <c r="B69" s="422">
        <v>936</v>
      </c>
      <c r="C69" s="423" t="s">
        <v>664</v>
      </c>
      <c r="D69" s="425" t="s">
        <v>427</v>
      </c>
    </row>
    <row r="70" spans="1:4" ht="58.5" customHeight="1">
      <c r="A70" s="849"/>
      <c r="B70" s="63">
        <v>936</v>
      </c>
      <c r="C70" s="820" t="s">
        <v>671</v>
      </c>
      <c r="D70" s="421" t="s">
        <v>10</v>
      </c>
    </row>
    <row r="71" spans="1:4" ht="45" customHeight="1">
      <c r="A71" s="850"/>
      <c r="B71" s="63">
        <v>936</v>
      </c>
      <c r="C71" s="820" t="s">
        <v>661</v>
      </c>
      <c r="D71" s="421" t="s">
        <v>84</v>
      </c>
    </row>
    <row r="72" spans="1:4">
      <c r="A72" s="848">
        <v>4</v>
      </c>
      <c r="B72" s="844" t="s">
        <v>680</v>
      </c>
      <c r="C72" s="844"/>
      <c r="D72" s="844"/>
    </row>
    <row r="73" spans="1:4" ht="71.25" customHeight="1">
      <c r="A73" s="849"/>
      <c r="B73" s="63">
        <v>937</v>
      </c>
      <c r="C73" s="820" t="s">
        <v>484</v>
      </c>
      <c r="D73" s="615" t="s">
        <v>485</v>
      </c>
    </row>
    <row r="74" spans="1:4" ht="71.25" customHeight="1">
      <c r="A74" s="849"/>
      <c r="B74" s="63">
        <v>937</v>
      </c>
      <c r="C74" s="820" t="s">
        <v>137</v>
      </c>
      <c r="D74" s="615" t="s">
        <v>130</v>
      </c>
    </row>
    <row r="75" spans="1:4" ht="59.25" customHeight="1">
      <c r="A75" s="849"/>
      <c r="B75" s="63">
        <v>937</v>
      </c>
      <c r="C75" s="420" t="s">
        <v>85</v>
      </c>
      <c r="D75" s="421" t="s">
        <v>86</v>
      </c>
    </row>
    <row r="76" spans="1:4" ht="31.5" customHeight="1">
      <c r="A76" s="849"/>
      <c r="B76" s="63">
        <v>937</v>
      </c>
      <c r="C76" s="820" t="s">
        <v>171</v>
      </c>
      <c r="D76" s="421" t="s">
        <v>172</v>
      </c>
    </row>
    <row r="77" spans="1:4" ht="20.25" customHeight="1">
      <c r="A77" s="849"/>
      <c r="B77" s="63">
        <v>937</v>
      </c>
      <c r="C77" s="420" t="s">
        <v>173</v>
      </c>
      <c r="D77" s="421" t="s">
        <v>174</v>
      </c>
    </row>
    <row r="78" spans="1:4" ht="23.25" customHeight="1">
      <c r="A78" s="849"/>
      <c r="B78" s="489">
        <v>937</v>
      </c>
      <c r="C78" s="820" t="s">
        <v>657</v>
      </c>
      <c r="D78" s="421" t="s">
        <v>178</v>
      </c>
    </row>
    <row r="79" spans="1:4" ht="25.5" customHeight="1">
      <c r="A79" s="849"/>
      <c r="B79" s="63">
        <v>937</v>
      </c>
      <c r="C79" s="820" t="s">
        <v>658</v>
      </c>
      <c r="D79" s="615" t="s">
        <v>397</v>
      </c>
    </row>
    <row r="80" spans="1:4" ht="63.75">
      <c r="A80" s="850"/>
      <c r="B80" s="63">
        <v>937</v>
      </c>
      <c r="C80" s="63" t="s">
        <v>710</v>
      </c>
      <c r="D80" s="615" t="s">
        <v>727</v>
      </c>
    </row>
    <row r="81" spans="2:3">
      <c r="B81" s="4"/>
      <c r="C81" s="4"/>
    </row>
    <row r="82" spans="2:3">
      <c r="B82" s="4"/>
      <c r="C82" s="4"/>
    </row>
    <row r="83" spans="2:3">
      <c r="B83" s="4"/>
      <c r="C83" s="4"/>
    </row>
    <row r="84" spans="2:3">
      <c r="B84" s="4"/>
      <c r="C84" s="4"/>
    </row>
    <row r="85" spans="2:3">
      <c r="B85" s="4"/>
      <c r="C85" s="4"/>
    </row>
    <row r="86" spans="2:3">
      <c r="B86" s="4"/>
      <c r="C86" s="4"/>
    </row>
  </sheetData>
  <mergeCells count="15">
    <mergeCell ref="B25:D25"/>
    <mergeCell ref="A58:A71"/>
    <mergeCell ref="B58:D58"/>
    <mergeCell ref="A72:A80"/>
    <mergeCell ref="B72:D72"/>
    <mergeCell ref="A25:A57"/>
    <mergeCell ref="A9:D9"/>
    <mergeCell ref="A10:A11"/>
    <mergeCell ref="B10:C10"/>
    <mergeCell ref="D10:D11"/>
    <mergeCell ref="A12:A24"/>
    <mergeCell ref="B12:D12"/>
    <mergeCell ref="B22:B23"/>
    <mergeCell ref="C22:C23"/>
    <mergeCell ref="D22:D2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="60" workbookViewId="0">
      <selection activeCell="I31" sqref="A1:I31"/>
    </sheetView>
  </sheetViews>
  <sheetFormatPr defaultRowHeight="12.75"/>
  <sheetData>
    <row r="1" spans="1:9">
      <c r="F1" s="416"/>
      <c r="G1" s="416"/>
      <c r="H1" s="416"/>
      <c r="I1" s="416" t="s">
        <v>704</v>
      </c>
    </row>
    <row r="2" spans="1:9">
      <c r="F2" s="416"/>
      <c r="G2" s="416"/>
      <c r="H2" s="416"/>
      <c r="I2" s="416" t="s">
        <v>204</v>
      </c>
    </row>
    <row r="3" spans="1:9">
      <c r="F3" s="416"/>
      <c r="G3" s="416"/>
      <c r="H3" s="416"/>
      <c r="I3" s="416" t="s">
        <v>306</v>
      </c>
    </row>
    <row r="4" spans="1:9">
      <c r="F4" s="610"/>
      <c r="G4" s="610"/>
      <c r="H4" s="610"/>
      <c r="I4" s="610" t="s">
        <v>153</v>
      </c>
    </row>
    <row r="5" spans="1:9">
      <c r="F5" s="610"/>
      <c r="G5" s="610"/>
      <c r="H5" s="610"/>
      <c r="I5" s="610" t="s">
        <v>307</v>
      </c>
    </row>
    <row r="6" spans="1:9">
      <c r="F6" s="610"/>
      <c r="G6" s="610"/>
      <c r="H6" s="610"/>
      <c r="I6" s="782" t="s">
        <v>1084</v>
      </c>
    </row>
    <row r="7" spans="1:9" ht="12.75" customHeight="1">
      <c r="F7" s="911" t="s">
        <v>1159</v>
      </c>
      <c r="G7" s="911"/>
      <c r="H7" s="911"/>
      <c r="I7" s="911"/>
    </row>
    <row r="9" spans="1:9" ht="38.25" customHeight="1">
      <c r="A9" s="911" t="s">
        <v>1080</v>
      </c>
      <c r="B9" s="911"/>
      <c r="C9" s="911"/>
      <c r="D9" s="911"/>
      <c r="E9" s="911"/>
      <c r="F9" s="911"/>
      <c r="G9" s="911"/>
      <c r="H9" s="911"/>
      <c r="I9" s="911"/>
    </row>
    <row r="10" spans="1:9" ht="38.25" customHeight="1">
      <c r="A10" s="390"/>
      <c r="B10" s="390"/>
      <c r="C10" s="390"/>
      <c r="D10" s="390"/>
      <c r="E10" s="390"/>
      <c r="F10" s="390"/>
      <c r="G10" s="390"/>
      <c r="H10" s="390"/>
      <c r="I10" s="390"/>
    </row>
    <row r="11" spans="1:9" ht="38.25" customHeight="1">
      <c r="A11" s="911" t="s">
        <v>1160</v>
      </c>
      <c r="B11" s="911"/>
      <c r="C11" s="911"/>
      <c r="D11" s="911"/>
      <c r="E11" s="911"/>
      <c r="F11" s="911"/>
      <c r="G11" s="911"/>
      <c r="H11" s="911"/>
      <c r="I11" s="390"/>
    </row>
    <row r="12" spans="1:9">
      <c r="A12" s="4"/>
      <c r="B12" s="4"/>
      <c r="C12" s="4"/>
      <c r="D12" s="4"/>
      <c r="E12" s="4"/>
      <c r="F12" s="4"/>
      <c r="G12" s="4"/>
      <c r="H12" s="4"/>
      <c r="I12" s="4"/>
    </row>
    <row r="13" spans="1:9" ht="191.25">
      <c r="A13" s="605" t="s">
        <v>368</v>
      </c>
      <c r="B13" s="606" t="s">
        <v>692</v>
      </c>
      <c r="C13" s="606" t="s">
        <v>693</v>
      </c>
      <c r="D13" s="606" t="s">
        <v>694</v>
      </c>
      <c r="E13" s="606" t="s">
        <v>695</v>
      </c>
      <c r="F13" s="606" t="s">
        <v>696</v>
      </c>
      <c r="G13" s="606" t="s">
        <v>697</v>
      </c>
      <c r="H13" s="606" t="s">
        <v>698</v>
      </c>
      <c r="I13" s="4"/>
    </row>
    <row r="14" spans="1:9">
      <c r="A14" s="608">
        <v>1</v>
      </c>
      <c r="B14" s="608">
        <v>2</v>
      </c>
      <c r="C14" s="608">
        <v>3</v>
      </c>
      <c r="D14" s="608">
        <v>4</v>
      </c>
      <c r="E14" s="608">
        <v>5</v>
      </c>
      <c r="F14" s="608">
        <v>6</v>
      </c>
      <c r="G14" s="608">
        <v>7</v>
      </c>
      <c r="H14" s="608">
        <v>8</v>
      </c>
      <c r="I14" s="4"/>
    </row>
    <row r="15" spans="1:9">
      <c r="A15" s="489" t="s">
        <v>703</v>
      </c>
      <c r="B15" s="489" t="s">
        <v>703</v>
      </c>
      <c r="C15" s="489" t="s">
        <v>703</v>
      </c>
      <c r="D15" s="489" t="s">
        <v>703</v>
      </c>
      <c r="E15" s="489" t="s">
        <v>703</v>
      </c>
      <c r="F15" s="489" t="s">
        <v>703</v>
      </c>
      <c r="G15" s="489" t="s">
        <v>703</v>
      </c>
      <c r="H15" s="489" t="s">
        <v>703</v>
      </c>
      <c r="I15" s="4"/>
    </row>
    <row r="16" spans="1:9">
      <c r="A16" s="605" t="s">
        <v>652</v>
      </c>
      <c r="B16" s="489" t="s">
        <v>703</v>
      </c>
      <c r="C16" s="489" t="s">
        <v>703</v>
      </c>
      <c r="D16" s="489" t="s">
        <v>703</v>
      </c>
      <c r="E16" s="489" t="s">
        <v>703</v>
      </c>
      <c r="F16" s="489" t="s">
        <v>703</v>
      </c>
      <c r="G16" s="489" t="s">
        <v>703</v>
      </c>
      <c r="H16" s="489" t="s">
        <v>703</v>
      </c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9" spans="1:9" ht="41.25" customHeight="1">
      <c r="A19" s="876" t="s">
        <v>1161</v>
      </c>
      <c r="B19" s="876"/>
      <c r="C19" s="876"/>
      <c r="D19" s="876"/>
      <c r="E19" s="876"/>
      <c r="F19" s="876"/>
      <c r="G19" s="876"/>
      <c r="H19" s="876"/>
    </row>
    <row r="20" spans="1:9" ht="51.75" customHeight="1">
      <c r="B20" s="912" t="s">
        <v>699</v>
      </c>
      <c r="C20" s="913"/>
      <c r="D20" s="914"/>
      <c r="E20" s="912" t="s">
        <v>700</v>
      </c>
      <c r="F20" s="913"/>
      <c r="G20" s="913"/>
      <c r="H20" s="914"/>
    </row>
    <row r="21" spans="1:9" ht="42.75" customHeight="1">
      <c r="B21" s="912" t="s">
        <v>701</v>
      </c>
      <c r="C21" s="913"/>
      <c r="D21" s="914"/>
      <c r="E21" s="915" t="s">
        <v>703</v>
      </c>
      <c r="F21" s="916"/>
      <c r="G21" s="916"/>
      <c r="H21" s="917"/>
    </row>
    <row r="22" spans="1:9">
      <c r="B22" s="912" t="s">
        <v>702</v>
      </c>
      <c r="C22" s="913"/>
      <c r="D22" s="914"/>
      <c r="E22" s="915" t="s">
        <v>703</v>
      </c>
      <c r="F22" s="916"/>
      <c r="G22" s="916"/>
      <c r="H22" s="917"/>
    </row>
    <row r="23" spans="1:9">
      <c r="B23" s="915" t="s">
        <v>687</v>
      </c>
      <c r="C23" s="916"/>
      <c r="D23" s="917"/>
      <c r="E23" s="915" t="s">
        <v>703</v>
      </c>
      <c r="F23" s="916"/>
      <c r="G23" s="916"/>
      <c r="H23" s="917"/>
    </row>
  </sheetData>
  <mergeCells count="12">
    <mergeCell ref="B21:D21"/>
    <mergeCell ref="B22:D22"/>
    <mergeCell ref="B23:D23"/>
    <mergeCell ref="E21:H21"/>
    <mergeCell ref="E22:H22"/>
    <mergeCell ref="E23:H23"/>
    <mergeCell ref="F7:I7"/>
    <mergeCell ref="A9:I9"/>
    <mergeCell ref="A11:H11"/>
    <mergeCell ref="A19:H19"/>
    <mergeCell ref="B20:D20"/>
    <mergeCell ref="E20:H20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60" workbookViewId="0">
      <selection activeCell="I24" sqref="A1:I24"/>
    </sheetView>
  </sheetViews>
  <sheetFormatPr defaultRowHeight="12.75"/>
  <cols>
    <col min="1" max="16384" width="9.140625" style="4"/>
  </cols>
  <sheetData>
    <row r="1" spans="1:9">
      <c r="F1" s="416"/>
      <c r="G1" s="416"/>
      <c r="H1" s="416"/>
      <c r="I1" s="416" t="s">
        <v>811</v>
      </c>
    </row>
    <row r="2" spans="1:9">
      <c r="F2" s="416"/>
      <c r="G2" s="416"/>
      <c r="H2" s="416"/>
      <c r="I2" s="416" t="s">
        <v>204</v>
      </c>
    </row>
    <row r="3" spans="1:9">
      <c r="F3" s="416"/>
      <c r="G3" s="416"/>
      <c r="H3" s="416"/>
      <c r="I3" s="416" t="s">
        <v>306</v>
      </c>
    </row>
    <row r="4" spans="1:9">
      <c r="F4" s="607"/>
      <c r="G4" s="607"/>
      <c r="H4" s="607"/>
      <c r="I4" s="607" t="s">
        <v>153</v>
      </c>
    </row>
    <row r="5" spans="1:9">
      <c r="F5" s="607"/>
      <c r="G5" s="607"/>
      <c r="H5" s="607"/>
      <c r="I5" s="607" t="s">
        <v>307</v>
      </c>
    </row>
    <row r="6" spans="1:9">
      <c r="F6" s="607"/>
      <c r="G6" s="607"/>
      <c r="H6" s="607"/>
      <c r="I6" s="782" t="s">
        <v>1084</v>
      </c>
    </row>
    <row r="7" spans="1:9">
      <c r="F7" s="911" t="s">
        <v>1164</v>
      </c>
      <c r="G7" s="911"/>
      <c r="H7" s="911"/>
      <c r="I7" s="911"/>
    </row>
    <row r="9" spans="1:9" ht="24" customHeight="1">
      <c r="A9" s="911" t="s">
        <v>1081</v>
      </c>
      <c r="B9" s="911"/>
      <c r="C9" s="911"/>
      <c r="D9" s="911"/>
      <c r="E9" s="911"/>
      <c r="F9" s="911"/>
      <c r="G9" s="911"/>
      <c r="H9" s="911"/>
      <c r="I9" s="911"/>
    </row>
    <row r="10" spans="1:9">
      <c r="A10" s="390"/>
      <c r="B10" s="390"/>
      <c r="C10" s="390"/>
      <c r="D10" s="390"/>
      <c r="E10" s="390"/>
      <c r="F10" s="390"/>
      <c r="G10" s="390"/>
      <c r="H10" s="390"/>
      <c r="I10" s="390"/>
    </row>
    <row r="11" spans="1:9" ht="30" customHeight="1">
      <c r="A11" s="911" t="s">
        <v>1162</v>
      </c>
      <c r="B11" s="911"/>
      <c r="C11" s="911"/>
      <c r="D11" s="911"/>
      <c r="E11" s="911"/>
      <c r="F11" s="911"/>
      <c r="G11" s="911"/>
      <c r="H11" s="911"/>
      <c r="I11" s="390"/>
    </row>
    <row r="13" spans="1:9" ht="191.25">
      <c r="A13" s="605" t="s">
        <v>368</v>
      </c>
      <c r="B13" s="606" t="s">
        <v>692</v>
      </c>
      <c r="C13" s="606" t="s">
        <v>693</v>
      </c>
      <c r="D13" s="606" t="s">
        <v>694</v>
      </c>
      <c r="E13" s="606" t="s">
        <v>695</v>
      </c>
      <c r="F13" s="606" t="s">
        <v>696</v>
      </c>
      <c r="G13" s="606" t="s">
        <v>697</v>
      </c>
      <c r="H13" s="606" t="s">
        <v>698</v>
      </c>
    </row>
    <row r="14" spans="1:9">
      <c r="A14" s="608">
        <v>1</v>
      </c>
      <c r="B14" s="608">
        <v>2</v>
      </c>
      <c r="C14" s="608">
        <v>3</v>
      </c>
      <c r="D14" s="608">
        <v>4</v>
      </c>
      <c r="E14" s="608">
        <v>5</v>
      </c>
      <c r="F14" s="608">
        <v>6</v>
      </c>
      <c r="G14" s="608">
        <v>7</v>
      </c>
      <c r="H14" s="608">
        <v>8</v>
      </c>
    </row>
    <row r="15" spans="1:9">
      <c r="A15" s="489" t="s">
        <v>703</v>
      </c>
      <c r="B15" s="489" t="s">
        <v>703</v>
      </c>
      <c r="C15" s="489" t="s">
        <v>703</v>
      </c>
      <c r="D15" s="489" t="s">
        <v>703</v>
      </c>
      <c r="E15" s="489" t="s">
        <v>703</v>
      </c>
      <c r="F15" s="489" t="s">
        <v>703</v>
      </c>
      <c r="G15" s="489" t="s">
        <v>703</v>
      </c>
      <c r="H15" s="489" t="s">
        <v>703</v>
      </c>
    </row>
    <row r="16" spans="1:9">
      <c r="A16" s="605" t="s">
        <v>652</v>
      </c>
      <c r="B16" s="489" t="s">
        <v>703</v>
      </c>
      <c r="C16" s="489" t="s">
        <v>703</v>
      </c>
      <c r="D16" s="489" t="s">
        <v>703</v>
      </c>
      <c r="E16" s="489" t="s">
        <v>703</v>
      </c>
      <c r="F16" s="489" t="s">
        <v>703</v>
      </c>
      <c r="G16" s="489" t="s">
        <v>703</v>
      </c>
      <c r="H16" s="489" t="s">
        <v>703</v>
      </c>
    </row>
    <row r="19" spans="1:8" ht="45" customHeight="1">
      <c r="A19" s="894" t="s">
        <v>1163</v>
      </c>
      <c r="B19" s="894"/>
      <c r="C19" s="894"/>
      <c r="D19" s="894"/>
      <c r="E19" s="894"/>
      <c r="F19" s="894"/>
      <c r="G19" s="894"/>
      <c r="H19" s="894"/>
    </row>
    <row r="20" spans="1:8" ht="13.5" customHeight="1">
      <c r="A20" s="390"/>
      <c r="B20" s="390"/>
      <c r="C20" s="390"/>
      <c r="D20" s="390"/>
      <c r="E20" s="390"/>
      <c r="F20" s="390"/>
      <c r="G20" s="390"/>
      <c r="H20" s="390"/>
    </row>
    <row r="21" spans="1:8">
      <c r="B21" s="918" t="s">
        <v>699</v>
      </c>
      <c r="C21" s="919"/>
      <c r="D21" s="920"/>
      <c r="E21" s="918" t="s">
        <v>707</v>
      </c>
      <c r="F21" s="919"/>
      <c r="G21" s="919"/>
      <c r="H21" s="920"/>
    </row>
    <row r="22" spans="1:8">
      <c r="B22" s="918" t="s">
        <v>701</v>
      </c>
      <c r="C22" s="919"/>
      <c r="D22" s="920"/>
      <c r="E22" s="921" t="s">
        <v>703</v>
      </c>
      <c r="F22" s="922"/>
      <c r="G22" s="922"/>
      <c r="H22" s="923"/>
    </row>
    <row r="23" spans="1:8">
      <c r="B23" s="918" t="s">
        <v>702</v>
      </c>
      <c r="C23" s="919"/>
      <c r="D23" s="920"/>
      <c r="E23" s="921" t="s">
        <v>703</v>
      </c>
      <c r="F23" s="922"/>
      <c r="G23" s="922"/>
      <c r="H23" s="923"/>
    </row>
    <row r="24" spans="1:8">
      <c r="B24" s="921" t="s">
        <v>687</v>
      </c>
      <c r="C24" s="922"/>
      <c r="D24" s="923"/>
      <c r="E24" s="921" t="s">
        <v>703</v>
      </c>
      <c r="F24" s="922"/>
      <c r="G24" s="922"/>
      <c r="H24" s="923"/>
    </row>
  </sheetData>
  <mergeCells count="12">
    <mergeCell ref="F7:I7"/>
    <mergeCell ref="A9:I9"/>
    <mergeCell ref="A11:H11"/>
    <mergeCell ref="A19:H19"/>
    <mergeCell ref="B21:D21"/>
    <mergeCell ref="E21:H21"/>
    <mergeCell ref="B22:D22"/>
    <mergeCell ref="E22:H22"/>
    <mergeCell ref="B23:D23"/>
    <mergeCell ref="E23:H23"/>
    <mergeCell ref="B24:D24"/>
    <mergeCell ref="E24:H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H26"/>
  <sheetViews>
    <sheetView view="pageBreakPreview" workbookViewId="0">
      <selection sqref="A1:D22"/>
    </sheetView>
  </sheetViews>
  <sheetFormatPr defaultRowHeight="12.75"/>
  <cols>
    <col min="1" max="1" width="4.140625" style="4" customWidth="1"/>
    <col min="2" max="2" width="12.140625" style="4" customWidth="1"/>
    <col min="3" max="3" width="22.7109375" style="4" customWidth="1"/>
    <col min="4" max="4" width="49.140625" style="4" customWidth="1"/>
    <col min="5" max="16384" width="9.140625" style="4"/>
  </cols>
  <sheetData>
    <row r="1" spans="1:8">
      <c r="D1" s="30" t="s">
        <v>151</v>
      </c>
    </row>
    <row r="2" spans="1:8">
      <c r="C2" s="18"/>
      <c r="D2" s="30" t="s">
        <v>204</v>
      </c>
    </row>
    <row r="3" spans="1:8">
      <c r="C3" s="18"/>
      <c r="D3" s="30" t="s">
        <v>306</v>
      </c>
    </row>
    <row r="4" spans="1:8">
      <c r="B4" s="29"/>
      <c r="C4" s="36"/>
      <c r="D4" s="30" t="s">
        <v>153</v>
      </c>
    </row>
    <row r="5" spans="1:8">
      <c r="B5" s="37"/>
      <c r="C5" s="36"/>
      <c r="D5" s="30" t="s">
        <v>307</v>
      </c>
    </row>
    <row r="6" spans="1:8">
      <c r="B6" s="37"/>
      <c r="C6" s="36"/>
      <c r="D6" s="699" t="s">
        <v>846</v>
      </c>
    </row>
    <row r="7" spans="1:8">
      <c r="B7" s="38"/>
      <c r="C7" s="39"/>
      <c r="D7" s="699" t="s">
        <v>780</v>
      </c>
      <c r="H7" s="29"/>
    </row>
    <row r="8" spans="1:8" hidden="1">
      <c r="B8" s="38"/>
      <c r="C8" s="39"/>
      <c r="D8" s="22"/>
      <c r="H8" s="29"/>
    </row>
    <row r="9" spans="1:8" ht="27.75" customHeight="1">
      <c r="A9" s="852" t="s">
        <v>475</v>
      </c>
      <c r="B9" s="852"/>
      <c r="C9" s="852"/>
      <c r="D9" s="852"/>
      <c r="H9" s="29"/>
    </row>
    <row r="10" spans="1:8" ht="12.75" customHeight="1">
      <c r="B10" s="40"/>
      <c r="C10" s="41"/>
      <c r="D10" s="42"/>
    </row>
    <row r="11" spans="1:8" ht="33" customHeight="1">
      <c r="A11" s="855" t="s">
        <v>368</v>
      </c>
      <c r="B11" s="856" t="s">
        <v>369</v>
      </c>
      <c r="C11" s="856"/>
      <c r="D11" s="857" t="s">
        <v>209</v>
      </c>
    </row>
    <row r="12" spans="1:8" ht="84.75" customHeight="1">
      <c r="A12" s="855"/>
      <c r="B12" s="43" t="s">
        <v>154</v>
      </c>
      <c r="C12" s="43" t="s">
        <v>152</v>
      </c>
      <c r="D12" s="857"/>
    </row>
    <row r="13" spans="1:8" s="1" customFormat="1" ht="27.75" customHeight="1">
      <c r="A13" s="853">
        <v>1</v>
      </c>
      <c r="B13" s="858" t="s">
        <v>169</v>
      </c>
      <c r="C13" s="858"/>
      <c r="D13" s="858"/>
    </row>
    <row r="14" spans="1:8" s="1" customFormat="1" ht="38.25">
      <c r="A14" s="853"/>
      <c r="B14" s="33">
        <v>931</v>
      </c>
      <c r="C14" s="63" t="s">
        <v>360</v>
      </c>
      <c r="D14" s="45" t="s">
        <v>12</v>
      </c>
      <c r="E14" s="66"/>
    </row>
    <row r="15" spans="1:8" s="1" customFormat="1" ht="38.25">
      <c r="A15" s="853"/>
      <c r="B15" s="33">
        <v>931</v>
      </c>
      <c r="C15" s="33" t="s">
        <v>361</v>
      </c>
      <c r="D15" s="45" t="s">
        <v>13</v>
      </c>
    </row>
    <row r="16" spans="1:8" s="1" customFormat="1" ht="31.5" customHeight="1">
      <c r="A16" s="854"/>
      <c r="B16" s="33">
        <v>931</v>
      </c>
      <c r="C16" s="63" t="s">
        <v>168</v>
      </c>
      <c r="D16" s="45" t="s">
        <v>165</v>
      </c>
    </row>
    <row r="17" spans="1:4" s="1" customFormat="1" ht="33" customHeight="1">
      <c r="A17" s="854"/>
      <c r="B17" s="33">
        <v>931</v>
      </c>
      <c r="C17" s="63" t="s">
        <v>167</v>
      </c>
      <c r="D17" s="45" t="s">
        <v>166</v>
      </c>
    </row>
    <row r="18" spans="1:4" s="1" customFormat="1">
      <c r="A18" s="854"/>
      <c r="B18" s="33">
        <v>931</v>
      </c>
      <c r="C18" s="63" t="s">
        <v>492</v>
      </c>
      <c r="D18" s="45" t="s">
        <v>495</v>
      </c>
    </row>
    <row r="19" spans="1:4" s="1" customFormat="1" ht="25.5">
      <c r="A19" s="854"/>
      <c r="B19" s="33">
        <v>931</v>
      </c>
      <c r="C19" s="63" t="s">
        <v>512</v>
      </c>
      <c r="D19" s="45" t="s">
        <v>493</v>
      </c>
    </row>
    <row r="20" spans="1:4" s="1" customFormat="1">
      <c r="A20" s="854"/>
      <c r="B20" s="33">
        <v>931</v>
      </c>
      <c r="C20" s="63" t="s">
        <v>494</v>
      </c>
      <c r="D20" s="45" t="s">
        <v>91</v>
      </c>
    </row>
    <row r="21" spans="1:4" s="1" customFormat="1" ht="25.5">
      <c r="A21" s="854"/>
      <c r="B21" s="33">
        <v>931</v>
      </c>
      <c r="C21" s="63" t="s">
        <v>496</v>
      </c>
      <c r="D21" s="45" t="s">
        <v>497</v>
      </c>
    </row>
    <row r="22" spans="1:4" s="1" customFormat="1" ht="38.25">
      <c r="A22" s="854"/>
      <c r="B22" s="33">
        <v>931</v>
      </c>
      <c r="C22" s="33" t="s">
        <v>14</v>
      </c>
      <c r="D22" s="25" t="s">
        <v>396</v>
      </c>
    </row>
    <row r="23" spans="1:4" s="1" customFormat="1">
      <c r="A23" s="851"/>
      <c r="B23" s="27"/>
      <c r="C23" s="27"/>
      <c r="D23" s="27"/>
    </row>
    <row r="24" spans="1:4" s="1" customFormat="1">
      <c r="A24" s="851"/>
      <c r="B24" s="27"/>
      <c r="C24" s="27"/>
      <c r="D24" s="27"/>
    </row>
    <row r="25" spans="1:4" s="1" customFormat="1">
      <c r="A25" s="851"/>
      <c r="B25" s="27"/>
      <c r="C25" s="27"/>
      <c r="D25" s="27"/>
    </row>
    <row r="26" spans="1:4" s="1" customFormat="1"/>
  </sheetData>
  <mergeCells count="7">
    <mergeCell ref="A23:A25"/>
    <mergeCell ref="A9:D9"/>
    <mergeCell ref="A13:A22"/>
    <mergeCell ref="A11:A12"/>
    <mergeCell ref="B11:C11"/>
    <mergeCell ref="D11:D12"/>
    <mergeCell ref="B13:D1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</sheetPr>
  <dimension ref="A1:P72"/>
  <sheetViews>
    <sheetView view="pageBreakPreview" topLeftCell="A48" zoomScale="89" zoomScaleSheetLayoutView="89" workbookViewId="0">
      <selection sqref="A1:F59"/>
    </sheetView>
  </sheetViews>
  <sheetFormatPr defaultRowHeight="12"/>
  <cols>
    <col min="1" max="1" width="6.5703125" style="258" customWidth="1"/>
    <col min="2" max="2" width="27.42578125" style="299" customWidth="1"/>
    <col min="3" max="3" width="68.140625" style="261" customWidth="1"/>
    <col min="4" max="4" width="18.85546875" style="262" customWidth="1"/>
    <col min="5" max="5" width="14.85546875" style="263" hidden="1" customWidth="1"/>
    <col min="6" max="6" width="0.42578125" style="300" hidden="1" customWidth="1"/>
    <col min="7" max="8" width="17.28515625" style="264" customWidth="1"/>
    <col min="9" max="9" width="9.28515625" style="258" bestFit="1" customWidth="1"/>
    <col min="10" max="10" width="14.42578125" style="258" bestFit="1" customWidth="1"/>
    <col min="11" max="11" width="10.5703125" style="258" bestFit="1" customWidth="1"/>
    <col min="12" max="15" width="9.140625" style="258"/>
    <col min="16" max="16" width="9.140625" style="260"/>
    <col min="17" max="16384" width="9.140625" style="258"/>
  </cols>
  <sheetData>
    <row r="1" spans="1:16" ht="12.75">
      <c r="A1" s="440"/>
      <c r="B1" s="441"/>
      <c r="C1" s="442"/>
      <c r="D1" s="861" t="s">
        <v>502</v>
      </c>
      <c r="E1" s="861"/>
      <c r="F1" s="861"/>
      <c r="G1" s="508"/>
      <c r="H1" s="631"/>
    </row>
    <row r="2" spans="1:16" ht="12.75">
      <c r="A2" s="440"/>
      <c r="B2" s="441"/>
      <c r="C2" s="861" t="s">
        <v>204</v>
      </c>
      <c r="D2" s="861"/>
      <c r="E2" s="861"/>
      <c r="F2" s="861"/>
      <c r="G2" s="508"/>
      <c r="H2" s="631"/>
    </row>
    <row r="3" spans="1:16" ht="12.75">
      <c r="A3" s="440"/>
      <c r="B3" s="441"/>
      <c r="C3" s="861" t="s">
        <v>306</v>
      </c>
      <c r="D3" s="861"/>
      <c r="E3" s="861"/>
      <c r="F3" s="861"/>
      <c r="G3" s="508"/>
      <c r="H3" s="631"/>
    </row>
    <row r="4" spans="1:16" ht="12.75">
      <c r="A4" s="440"/>
      <c r="B4" s="441"/>
      <c r="C4" s="861" t="s">
        <v>153</v>
      </c>
      <c r="D4" s="861"/>
      <c r="E4" s="861"/>
      <c r="F4" s="861"/>
      <c r="G4" s="508"/>
      <c r="H4" s="631"/>
    </row>
    <row r="5" spans="1:16" ht="12.75">
      <c r="A5" s="440"/>
      <c r="B5" s="441"/>
      <c r="C5" s="861" t="s">
        <v>846</v>
      </c>
      <c r="D5" s="861"/>
      <c r="E5" s="861"/>
      <c r="F5" s="861"/>
      <c r="G5" s="508"/>
      <c r="H5" s="631"/>
    </row>
    <row r="6" spans="1:16" ht="12.75">
      <c r="A6" s="440"/>
      <c r="B6" s="441"/>
      <c r="C6" s="861" t="s">
        <v>847</v>
      </c>
      <c r="D6" s="861"/>
      <c r="E6" s="861"/>
      <c r="F6" s="861"/>
      <c r="G6" s="508"/>
      <c r="H6" s="631"/>
    </row>
    <row r="7" spans="1:16">
      <c r="A7" s="440"/>
      <c r="B7" s="441"/>
      <c r="C7" s="441"/>
      <c r="D7" s="443"/>
      <c r="E7" s="444"/>
      <c r="F7" s="445"/>
      <c r="G7" s="445"/>
      <c r="H7" s="445"/>
    </row>
    <row r="8" spans="1:16">
      <c r="A8" s="440"/>
      <c r="B8" s="862" t="s">
        <v>845</v>
      </c>
      <c r="C8" s="862"/>
      <c r="D8" s="862"/>
      <c r="E8" s="446"/>
      <c r="F8" s="447"/>
      <c r="G8" s="447"/>
      <c r="H8" s="447"/>
    </row>
    <row r="9" spans="1:16">
      <c r="A9" s="440"/>
      <c r="B9" s="441"/>
      <c r="C9" s="441"/>
      <c r="D9" s="587" t="s">
        <v>155</v>
      </c>
      <c r="E9" s="444"/>
      <c r="F9" s="445"/>
      <c r="G9" s="445"/>
      <c r="H9" s="445"/>
    </row>
    <row r="10" spans="1:16" ht="24" customHeight="1">
      <c r="A10" s="287" t="s">
        <v>368</v>
      </c>
      <c r="B10" s="287" t="s">
        <v>109</v>
      </c>
      <c r="C10" s="287" t="s">
        <v>209</v>
      </c>
      <c r="D10" s="667" t="s">
        <v>848</v>
      </c>
      <c r="E10" s="290" t="s">
        <v>136</v>
      </c>
      <c r="F10" s="290" t="s">
        <v>135</v>
      </c>
      <c r="G10" s="667" t="s">
        <v>848</v>
      </c>
      <c r="H10" s="648" t="s">
        <v>476</v>
      </c>
    </row>
    <row r="11" spans="1:16" s="266" customFormat="1" ht="12" customHeight="1">
      <c r="A11" s="287"/>
      <c r="B11" s="859" t="s">
        <v>110</v>
      </c>
      <c r="C11" s="860"/>
      <c r="D11" s="289">
        <f>D12+D18+D23+D27+D29+D33+D38+D42+D57</f>
        <v>277770.89999999991</v>
      </c>
      <c r="E11" s="290" t="e">
        <f>E12+E23+E27+E29+E33+E36+E38+E42+E57+E18</f>
        <v>#REF!</v>
      </c>
      <c r="F11" s="290">
        <f>F12+F23+F27+F29+F33+F36+F38+F42+F57+F18</f>
        <v>267256.52469999995</v>
      </c>
      <c r="G11" s="289">
        <f>G12+G18+G23+G27+G29+G33+G38+G42+G57</f>
        <v>0</v>
      </c>
      <c r="H11" s="289">
        <f>D11-G11</f>
        <v>277770.89999999991</v>
      </c>
      <c r="P11" s="267"/>
    </row>
    <row r="12" spans="1:16" s="266" customFormat="1">
      <c r="A12" s="287">
        <v>1</v>
      </c>
      <c r="B12" s="287" t="s">
        <v>111</v>
      </c>
      <c r="C12" s="288" t="s">
        <v>112</v>
      </c>
      <c r="D12" s="289">
        <f>D13</f>
        <v>241150</v>
      </c>
      <c r="E12" s="290">
        <f>E13</f>
        <v>227167.1</v>
      </c>
      <c r="F12" s="290">
        <f>F13</f>
        <v>237167.1</v>
      </c>
      <c r="G12" s="289">
        <f>G13</f>
        <v>0</v>
      </c>
      <c r="H12" s="289">
        <f t="shared" ref="H12:H58" si="0">D12-G12</f>
        <v>241150</v>
      </c>
      <c r="P12" s="267"/>
    </row>
    <row r="13" spans="1:16" ht="12" customHeight="1">
      <c r="A13" s="448"/>
      <c r="B13" s="449" t="s">
        <v>113</v>
      </c>
      <c r="C13" s="450" t="s">
        <v>114</v>
      </c>
      <c r="D13" s="451">
        <f>D14+D15+D16+D17</f>
        <v>241150</v>
      </c>
      <c r="E13" s="452">
        <f>E14+E15+E16+E17</f>
        <v>227167.1</v>
      </c>
      <c r="F13" s="452">
        <f>SUM(F14:F17)</f>
        <v>237167.1</v>
      </c>
      <c r="G13" s="451">
        <f>G14+G15+G16+G17</f>
        <v>0</v>
      </c>
      <c r="H13" s="289">
        <f t="shared" si="0"/>
        <v>241150</v>
      </c>
    </row>
    <row r="14" spans="1:16" ht="60">
      <c r="A14" s="453"/>
      <c r="B14" s="449" t="s">
        <v>375</v>
      </c>
      <c r="C14" s="450" t="s">
        <v>570</v>
      </c>
      <c r="D14" s="451">
        <v>240488.6</v>
      </c>
      <c r="E14" s="452">
        <v>226278.7</v>
      </c>
      <c r="F14" s="452">
        <v>236278.7</v>
      </c>
      <c r="G14" s="451"/>
      <c r="H14" s="289">
        <f t="shared" si="0"/>
        <v>240488.6</v>
      </c>
      <c r="I14" s="271"/>
    </row>
    <row r="15" spans="1:16" s="266" customFormat="1" ht="60">
      <c r="A15" s="454"/>
      <c r="B15" s="449" t="s">
        <v>376</v>
      </c>
      <c r="C15" s="455" t="s">
        <v>320</v>
      </c>
      <c r="D15" s="451">
        <v>132.4</v>
      </c>
      <c r="E15" s="452">
        <v>192.1</v>
      </c>
      <c r="F15" s="452">
        <v>192.1</v>
      </c>
      <c r="G15" s="451"/>
      <c r="H15" s="289">
        <f t="shared" si="0"/>
        <v>132.4</v>
      </c>
      <c r="I15" s="274"/>
      <c r="P15" s="267"/>
    </row>
    <row r="16" spans="1:16" ht="27" customHeight="1">
      <c r="A16" s="454"/>
      <c r="B16" s="449" t="s">
        <v>377</v>
      </c>
      <c r="C16" s="450" t="s">
        <v>374</v>
      </c>
      <c r="D16" s="451">
        <v>503.6</v>
      </c>
      <c r="E16" s="452">
        <v>576.29999999999995</v>
      </c>
      <c r="F16" s="452">
        <v>576.29999999999995</v>
      </c>
      <c r="G16" s="451"/>
      <c r="H16" s="289">
        <f t="shared" si="0"/>
        <v>503.6</v>
      </c>
      <c r="I16" s="271"/>
    </row>
    <row r="17" spans="1:16" ht="36" customHeight="1">
      <c r="A17" s="454"/>
      <c r="B17" s="449" t="s">
        <v>378</v>
      </c>
      <c r="C17" s="455" t="s">
        <v>21</v>
      </c>
      <c r="D17" s="451">
        <v>25.4</v>
      </c>
      <c r="E17" s="452">
        <v>120</v>
      </c>
      <c r="F17" s="452">
        <v>120</v>
      </c>
      <c r="G17" s="451"/>
      <c r="H17" s="289">
        <f t="shared" si="0"/>
        <v>25.4</v>
      </c>
      <c r="I17" s="271"/>
      <c r="P17" s="275"/>
    </row>
    <row r="18" spans="1:16" ht="24">
      <c r="A18" s="456">
        <v>2</v>
      </c>
      <c r="B18" s="457" t="s">
        <v>362</v>
      </c>
      <c r="C18" s="458" t="s">
        <v>123</v>
      </c>
      <c r="D18" s="289">
        <f>SUM(D19:D22)</f>
        <v>12863.3</v>
      </c>
      <c r="E18" s="290">
        <f>E19+E20+E21+E22</f>
        <v>11480.603700000001</v>
      </c>
      <c r="F18" s="290">
        <f>F19+F20+F21+F22</f>
        <v>11480.603700000001</v>
      </c>
      <c r="G18" s="289">
        <f>SUM(G19:G22)</f>
        <v>0</v>
      </c>
      <c r="H18" s="289">
        <f t="shared" si="0"/>
        <v>12863.3</v>
      </c>
    </row>
    <row r="19" spans="1:16" ht="27" customHeight="1">
      <c r="A19" s="459"/>
      <c r="B19" s="460" t="s">
        <v>363</v>
      </c>
      <c r="C19" s="461" t="s">
        <v>23</v>
      </c>
      <c r="D19" s="462">
        <v>5929.76</v>
      </c>
      <c r="E19" s="462">
        <f>9689.7*31.05%</f>
        <v>3008.6518500000002</v>
      </c>
      <c r="F19" s="462">
        <f>9689.7*31.05%</f>
        <v>3008.6518500000002</v>
      </c>
      <c r="G19" s="462"/>
      <c r="H19" s="289">
        <f t="shared" si="0"/>
        <v>5929.76</v>
      </c>
    </row>
    <row r="20" spans="1:16" s="266" customFormat="1" ht="48">
      <c r="A20" s="463"/>
      <c r="B20" s="460" t="s">
        <v>364</v>
      </c>
      <c r="C20" s="461" t="s">
        <v>25</v>
      </c>
      <c r="D20" s="462">
        <v>29.76</v>
      </c>
      <c r="E20" s="462">
        <f>9689.7*31.05%</f>
        <v>3008.6518500000002</v>
      </c>
      <c r="F20" s="462">
        <f>9689.7*31.05%</f>
        <v>3008.6518500000002</v>
      </c>
      <c r="G20" s="462"/>
      <c r="H20" s="289">
        <f t="shared" si="0"/>
        <v>29.76</v>
      </c>
      <c r="P20" s="267"/>
    </row>
    <row r="21" spans="1:16" ht="36">
      <c r="A21" s="453"/>
      <c r="B21" s="460" t="s">
        <v>365</v>
      </c>
      <c r="C21" s="461" t="s">
        <v>27</v>
      </c>
      <c r="D21" s="462">
        <v>7723.82</v>
      </c>
      <c r="E21" s="464">
        <v>5359.7</v>
      </c>
      <c r="F21" s="464">
        <v>5359.7</v>
      </c>
      <c r="G21" s="462"/>
      <c r="H21" s="289">
        <f t="shared" si="0"/>
        <v>7723.82</v>
      </c>
    </row>
    <row r="22" spans="1:16" ht="36">
      <c r="A22" s="453"/>
      <c r="B22" s="460" t="s">
        <v>366</v>
      </c>
      <c r="C22" s="461" t="s">
        <v>29</v>
      </c>
      <c r="D22" s="462">
        <v>-820.04</v>
      </c>
      <c r="E22" s="464">
        <v>103.6</v>
      </c>
      <c r="F22" s="464">
        <v>103.6</v>
      </c>
      <c r="G22" s="462"/>
      <c r="H22" s="289">
        <f t="shared" si="0"/>
        <v>-820.04</v>
      </c>
    </row>
    <row r="23" spans="1:16" ht="21.75" customHeight="1">
      <c r="A23" s="287">
        <v>3</v>
      </c>
      <c r="B23" s="465" t="s">
        <v>115</v>
      </c>
      <c r="C23" s="288" t="s">
        <v>322</v>
      </c>
      <c r="D23" s="289">
        <f>D25+D26+D24</f>
        <v>7105</v>
      </c>
      <c r="E23" s="289">
        <f t="shared" ref="E23:G23" si="1">E25+E26+E24</f>
        <v>554</v>
      </c>
      <c r="F23" s="289">
        <f t="shared" si="1"/>
        <v>654</v>
      </c>
      <c r="G23" s="289">
        <f t="shared" si="1"/>
        <v>0</v>
      </c>
      <c r="H23" s="289">
        <f t="shared" si="0"/>
        <v>7105</v>
      </c>
    </row>
    <row r="24" spans="1:16">
      <c r="A24" s="471"/>
      <c r="B24" s="506" t="s">
        <v>571</v>
      </c>
      <c r="C24" s="450" t="s">
        <v>606</v>
      </c>
      <c r="D24" s="451">
        <v>6026.7</v>
      </c>
      <c r="E24" s="290"/>
      <c r="F24" s="290"/>
      <c r="G24" s="451"/>
      <c r="H24" s="289">
        <f t="shared" si="0"/>
        <v>6026.7</v>
      </c>
    </row>
    <row r="25" spans="1:16" ht="17.25" customHeight="1">
      <c r="A25" s="504"/>
      <c r="B25" s="507" t="s">
        <v>323</v>
      </c>
      <c r="C25" s="450" t="s">
        <v>35</v>
      </c>
      <c r="D25" s="451">
        <v>726.1</v>
      </c>
      <c r="E25" s="452">
        <v>143.5</v>
      </c>
      <c r="F25" s="452">
        <v>143.5</v>
      </c>
      <c r="G25" s="451"/>
      <c r="H25" s="289">
        <f t="shared" si="0"/>
        <v>726.1</v>
      </c>
      <c r="N25" s="778"/>
    </row>
    <row r="26" spans="1:16" s="266" customFormat="1" ht="42.75" customHeight="1">
      <c r="A26" s="505"/>
      <c r="B26" s="449" t="s">
        <v>61</v>
      </c>
      <c r="C26" s="469" t="s">
        <v>60</v>
      </c>
      <c r="D26" s="451">
        <v>352.2</v>
      </c>
      <c r="E26" s="452">
        <v>410.5</v>
      </c>
      <c r="F26" s="452">
        <v>510.5</v>
      </c>
      <c r="G26" s="451"/>
      <c r="H26" s="289">
        <f t="shared" si="0"/>
        <v>352.2</v>
      </c>
      <c r="N26" s="778"/>
      <c r="P26" s="267"/>
    </row>
    <row r="27" spans="1:16" ht="12" customHeight="1">
      <c r="A27" s="287">
        <v>4</v>
      </c>
      <c r="B27" s="287" t="s">
        <v>324</v>
      </c>
      <c r="C27" s="288" t="s">
        <v>325</v>
      </c>
      <c r="D27" s="289">
        <f>D28</f>
        <v>3907.6</v>
      </c>
      <c r="E27" s="290">
        <f>E28</f>
        <v>3317.3</v>
      </c>
      <c r="F27" s="290">
        <f>F28</f>
        <v>2317.3000000000002</v>
      </c>
      <c r="G27" s="289">
        <f>G28</f>
        <v>0</v>
      </c>
      <c r="H27" s="289">
        <f t="shared" si="0"/>
        <v>3907.6</v>
      </c>
      <c r="N27" s="778"/>
    </row>
    <row r="28" spans="1:16" ht="24">
      <c r="A28" s="470"/>
      <c r="B28" s="449" t="s">
        <v>295</v>
      </c>
      <c r="C28" s="450" t="s">
        <v>38</v>
      </c>
      <c r="D28" s="451">
        <v>3907.6</v>
      </c>
      <c r="E28" s="452">
        <v>3317.3</v>
      </c>
      <c r="F28" s="452">
        <v>2317.3000000000002</v>
      </c>
      <c r="G28" s="451"/>
      <c r="H28" s="289">
        <f t="shared" si="0"/>
        <v>3907.6</v>
      </c>
      <c r="N28" s="778"/>
    </row>
    <row r="29" spans="1:16" s="266" customFormat="1" ht="24">
      <c r="A29" s="471">
        <v>5</v>
      </c>
      <c r="B29" s="287" t="s">
        <v>326</v>
      </c>
      <c r="C29" s="288" t="s">
        <v>327</v>
      </c>
      <c r="D29" s="289">
        <f>D30+D31+D32</f>
        <v>7034</v>
      </c>
      <c r="E29" s="290">
        <f>E30+E32+E31</f>
        <v>7620.1210000000001</v>
      </c>
      <c r="F29" s="290">
        <f>F30+F32+F31</f>
        <v>6763.4210000000003</v>
      </c>
      <c r="G29" s="289">
        <f>G30+G31+G32</f>
        <v>0</v>
      </c>
      <c r="H29" s="289">
        <f t="shared" si="0"/>
        <v>7034</v>
      </c>
      <c r="N29" s="778"/>
      <c r="P29" s="267"/>
    </row>
    <row r="30" spans="1:16" ht="63" customHeight="1">
      <c r="A30" s="472"/>
      <c r="B30" s="466" t="s">
        <v>595</v>
      </c>
      <c r="C30" s="284" t="s">
        <v>131</v>
      </c>
      <c r="D30" s="451">
        <v>3034</v>
      </c>
      <c r="E30" s="452">
        <v>2389.721</v>
      </c>
      <c r="F30" s="452">
        <f>2100.5+289.221</f>
        <v>2389.721</v>
      </c>
      <c r="G30" s="451"/>
      <c r="H30" s="289">
        <f t="shared" si="0"/>
        <v>3034</v>
      </c>
      <c r="N30" s="778"/>
    </row>
    <row r="31" spans="1:16" ht="48" hidden="1">
      <c r="A31" s="449"/>
      <c r="B31" s="466" t="s">
        <v>129</v>
      </c>
      <c r="C31" s="284" t="s">
        <v>130</v>
      </c>
      <c r="D31" s="451"/>
      <c r="E31" s="452">
        <v>917.3</v>
      </c>
      <c r="F31" s="452">
        <v>917.3</v>
      </c>
      <c r="G31" s="451"/>
      <c r="H31" s="289">
        <f t="shared" si="0"/>
        <v>0</v>
      </c>
      <c r="N31" s="778"/>
    </row>
    <row r="32" spans="1:16" s="266" customFormat="1" ht="36">
      <c r="A32" s="468"/>
      <c r="B32" s="466" t="s">
        <v>328</v>
      </c>
      <c r="C32" s="284" t="s">
        <v>86</v>
      </c>
      <c r="D32" s="451">
        <v>4000</v>
      </c>
      <c r="E32" s="452">
        <v>4313.1000000000004</v>
      </c>
      <c r="F32" s="452">
        <v>3456.4</v>
      </c>
      <c r="G32" s="451"/>
      <c r="H32" s="289">
        <f t="shared" si="0"/>
        <v>4000</v>
      </c>
      <c r="N32" s="778"/>
      <c r="P32" s="267"/>
    </row>
    <row r="33" spans="1:16" s="266" customFormat="1" ht="12.75">
      <c r="A33" s="463">
        <v>6</v>
      </c>
      <c r="B33" s="287" t="s">
        <v>277</v>
      </c>
      <c r="C33" s="288" t="s">
        <v>329</v>
      </c>
      <c r="D33" s="289">
        <f>D34+D35</f>
        <v>764.6</v>
      </c>
      <c r="E33" s="289">
        <f t="shared" ref="E33:F33" si="2">E34+E35</f>
        <v>722.40000000000009</v>
      </c>
      <c r="F33" s="289">
        <f t="shared" si="2"/>
        <v>722.40000000000009</v>
      </c>
      <c r="G33" s="289">
        <f>G34+G35</f>
        <v>0</v>
      </c>
      <c r="H33" s="289">
        <f t="shared" si="0"/>
        <v>764.6</v>
      </c>
      <c r="N33" s="778"/>
      <c r="P33" s="267"/>
    </row>
    <row r="34" spans="1:16" s="266" customFormat="1" ht="24">
      <c r="A34" s="463"/>
      <c r="B34" s="466" t="s">
        <v>381</v>
      </c>
      <c r="C34" s="450" t="s">
        <v>379</v>
      </c>
      <c r="D34" s="451">
        <v>297</v>
      </c>
      <c r="E34" s="451">
        <v>324.8</v>
      </c>
      <c r="F34" s="451">
        <v>324.8</v>
      </c>
      <c r="G34" s="451"/>
      <c r="H34" s="289">
        <f t="shared" si="0"/>
        <v>297</v>
      </c>
      <c r="J34" s="666"/>
      <c r="K34" s="258"/>
      <c r="N34" s="778"/>
      <c r="P34" s="267"/>
    </row>
    <row r="35" spans="1:16" s="266" customFormat="1" ht="12.75">
      <c r="A35" s="475"/>
      <c r="B35" s="466" t="s">
        <v>382</v>
      </c>
      <c r="C35" s="409" t="s">
        <v>380</v>
      </c>
      <c r="D35" s="474">
        <v>467.6</v>
      </c>
      <c r="E35" s="474">
        <v>397.6</v>
      </c>
      <c r="F35" s="474">
        <v>397.6</v>
      </c>
      <c r="G35" s="474"/>
      <c r="H35" s="289">
        <f t="shared" si="0"/>
        <v>467.6</v>
      </c>
      <c r="K35" s="258"/>
      <c r="N35" s="778"/>
      <c r="P35" s="267"/>
    </row>
    <row r="36" spans="1:16" ht="24" hidden="1">
      <c r="A36" s="463">
        <v>7</v>
      </c>
      <c r="B36" s="287" t="s">
        <v>330</v>
      </c>
      <c r="C36" s="288" t="s">
        <v>331</v>
      </c>
      <c r="D36" s="289">
        <v>0</v>
      </c>
      <c r="E36" s="290">
        <v>0</v>
      </c>
      <c r="F36" s="290">
        <f>F37</f>
        <v>0</v>
      </c>
      <c r="G36" s="289">
        <v>0</v>
      </c>
      <c r="H36" s="289">
        <f t="shared" si="0"/>
        <v>0</v>
      </c>
      <c r="K36" s="266"/>
      <c r="N36" s="778"/>
    </row>
    <row r="37" spans="1:16" ht="24" hidden="1">
      <c r="A37" s="470"/>
      <c r="B37" s="449" t="s">
        <v>332</v>
      </c>
      <c r="C37" s="450" t="s">
        <v>170</v>
      </c>
      <c r="D37" s="451"/>
      <c r="E37" s="452"/>
      <c r="F37" s="452">
        <v>0</v>
      </c>
      <c r="G37" s="451"/>
      <c r="H37" s="289">
        <f t="shared" si="0"/>
        <v>0</v>
      </c>
      <c r="K37" s="266"/>
      <c r="N37" s="778"/>
    </row>
    <row r="38" spans="1:16" s="266" customFormat="1" ht="12.75">
      <c r="A38" s="471">
        <v>7</v>
      </c>
      <c r="B38" s="287" t="s">
        <v>333</v>
      </c>
      <c r="C38" s="288" t="s">
        <v>334</v>
      </c>
      <c r="D38" s="289">
        <f>D39+D40+D41</f>
        <v>2450</v>
      </c>
      <c r="E38" s="290">
        <f>E39+E41+E40</f>
        <v>5753.8</v>
      </c>
      <c r="F38" s="290">
        <f>F39+F41+F40</f>
        <v>5753.8</v>
      </c>
      <c r="G38" s="289">
        <f>G39+G40+G41</f>
        <v>0</v>
      </c>
      <c r="H38" s="289">
        <f t="shared" si="0"/>
        <v>2450</v>
      </c>
      <c r="K38" s="258"/>
      <c r="N38" s="778"/>
      <c r="P38" s="267"/>
    </row>
    <row r="39" spans="1:16" s="266" customFormat="1" ht="48">
      <c r="A39" s="471"/>
      <c r="B39" s="466" t="s">
        <v>383</v>
      </c>
      <c r="C39" s="450" t="s">
        <v>335</v>
      </c>
      <c r="D39" s="451">
        <v>2000</v>
      </c>
      <c r="E39" s="452">
        <v>4458.1000000000004</v>
      </c>
      <c r="F39" s="452">
        <v>4458.1000000000004</v>
      </c>
      <c r="G39" s="451"/>
      <c r="H39" s="289">
        <f t="shared" si="0"/>
        <v>2000</v>
      </c>
      <c r="K39" s="258"/>
      <c r="N39" s="778"/>
      <c r="P39" s="267"/>
    </row>
    <row r="40" spans="1:16" ht="24">
      <c r="A40" s="476"/>
      <c r="B40" s="466" t="s">
        <v>596</v>
      </c>
      <c r="C40" s="284" t="s">
        <v>132</v>
      </c>
      <c r="D40" s="451">
        <v>40</v>
      </c>
      <c r="E40" s="452">
        <v>263.3</v>
      </c>
      <c r="F40" s="452">
        <v>263.3</v>
      </c>
      <c r="G40" s="451"/>
      <c r="H40" s="289">
        <f t="shared" si="0"/>
        <v>40</v>
      </c>
      <c r="N40" s="778"/>
    </row>
    <row r="41" spans="1:16" ht="24">
      <c r="A41" s="476"/>
      <c r="B41" s="466" t="s">
        <v>134</v>
      </c>
      <c r="C41" s="284" t="s">
        <v>133</v>
      </c>
      <c r="D41" s="451">
        <v>410</v>
      </c>
      <c r="E41" s="452">
        <v>1032.4000000000001</v>
      </c>
      <c r="F41" s="452">
        <v>1032.4000000000001</v>
      </c>
      <c r="G41" s="451"/>
      <c r="H41" s="289">
        <f t="shared" si="0"/>
        <v>410</v>
      </c>
      <c r="N41" s="778"/>
    </row>
    <row r="42" spans="1:16" ht="12.75">
      <c r="A42" s="477">
        <v>8</v>
      </c>
      <c r="B42" s="287" t="s">
        <v>336</v>
      </c>
      <c r="C42" s="288" t="s">
        <v>337</v>
      </c>
      <c r="D42" s="289">
        <f>D43+D44+D45+D46+D47+D48+D49+D50+D51+D52+D53+D54+D55+D56</f>
        <v>1992.3</v>
      </c>
      <c r="E42" s="290" t="e">
        <f>#REF!+E43+E44+E45+E46+E47+E48</f>
        <v>#REF!</v>
      </c>
      <c r="F42" s="290">
        <f>SUM(F43:F48)</f>
        <v>1018.3</v>
      </c>
      <c r="G42" s="289">
        <f>G43+G44+G45+G46+G47+G48+G49+G50+G51</f>
        <v>0</v>
      </c>
      <c r="H42" s="289">
        <f t="shared" si="0"/>
        <v>1992.3</v>
      </c>
      <c r="N42" s="778"/>
    </row>
    <row r="43" spans="1:16" ht="37.5" customHeight="1">
      <c r="A43" s="473"/>
      <c r="B43" s="411" t="s">
        <v>1123</v>
      </c>
      <c r="C43" s="762" t="s">
        <v>1146</v>
      </c>
      <c r="D43" s="790">
        <v>8.5</v>
      </c>
      <c r="E43" s="290">
        <v>6</v>
      </c>
      <c r="F43" s="290">
        <v>6</v>
      </c>
      <c r="G43" s="564"/>
      <c r="H43" s="289">
        <f t="shared" si="0"/>
        <v>8.5</v>
      </c>
      <c r="I43" s="259"/>
      <c r="J43" s="271"/>
      <c r="N43" s="778"/>
    </row>
    <row r="44" spans="1:16" ht="56.25" customHeight="1">
      <c r="A44" s="473"/>
      <c r="B44" s="758" t="s">
        <v>1124</v>
      </c>
      <c r="C44" s="763" t="s">
        <v>1125</v>
      </c>
      <c r="D44" s="785">
        <v>63.3</v>
      </c>
      <c r="E44" s="290">
        <v>198.9</v>
      </c>
      <c r="F44" s="290">
        <v>198.9</v>
      </c>
      <c r="G44" s="564"/>
      <c r="H44" s="289">
        <f t="shared" si="0"/>
        <v>63.3</v>
      </c>
      <c r="I44" s="294"/>
      <c r="J44" s="271"/>
      <c r="M44" s="778"/>
      <c r="O44" s="260"/>
      <c r="P44" s="258"/>
    </row>
    <row r="45" spans="1:16" ht="29.25" customHeight="1">
      <c r="A45" s="473"/>
      <c r="B45" s="759" t="s">
        <v>1126</v>
      </c>
      <c r="C45" s="764" t="s">
        <v>1127</v>
      </c>
      <c r="D45" s="785">
        <v>2.5</v>
      </c>
      <c r="E45" s="290">
        <v>179.1</v>
      </c>
      <c r="F45" s="290">
        <v>179.1</v>
      </c>
      <c r="G45" s="564"/>
      <c r="H45" s="289">
        <f t="shared" si="0"/>
        <v>2.5</v>
      </c>
      <c r="I45" s="259"/>
      <c r="J45" s="271"/>
      <c r="M45" s="778"/>
      <c r="O45" s="260"/>
      <c r="P45" s="258"/>
    </row>
    <row r="46" spans="1:16" ht="51.75" customHeight="1">
      <c r="A46" s="473"/>
      <c r="B46" s="411" t="s">
        <v>1128</v>
      </c>
      <c r="C46" s="762" t="s">
        <v>1129</v>
      </c>
      <c r="D46" s="785">
        <v>17</v>
      </c>
      <c r="E46" s="290">
        <v>159.19999999999999</v>
      </c>
      <c r="F46" s="290">
        <v>159.19999999999999</v>
      </c>
      <c r="G46" s="564"/>
      <c r="H46" s="289">
        <f t="shared" si="0"/>
        <v>17</v>
      </c>
      <c r="I46" s="295"/>
      <c r="J46" s="271"/>
      <c r="M46" s="778"/>
      <c r="O46" s="260"/>
      <c r="P46" s="258"/>
    </row>
    <row r="47" spans="1:16" ht="45.75" customHeight="1">
      <c r="A47" s="473"/>
      <c r="B47" s="758" t="s">
        <v>1130</v>
      </c>
      <c r="C47" s="762" t="s">
        <v>1147</v>
      </c>
      <c r="D47" s="785">
        <v>35</v>
      </c>
      <c r="E47" s="290">
        <v>19.899999999999999</v>
      </c>
      <c r="F47" s="290">
        <v>19.899999999999999</v>
      </c>
      <c r="G47" s="564"/>
      <c r="H47" s="289">
        <f t="shared" si="0"/>
        <v>35</v>
      </c>
      <c r="I47" s="259"/>
      <c r="J47" s="271"/>
      <c r="M47" s="778"/>
      <c r="O47" s="260"/>
      <c r="P47" s="258"/>
    </row>
    <row r="48" spans="1:16" ht="75.75" customHeight="1">
      <c r="A48" s="478"/>
      <c r="B48" s="758" t="s">
        <v>1131</v>
      </c>
      <c r="C48" s="762" t="s">
        <v>1148</v>
      </c>
      <c r="D48" s="785">
        <v>5</v>
      </c>
      <c r="E48" s="290">
        <v>455.2</v>
      </c>
      <c r="F48" s="290">
        <v>455.2</v>
      </c>
      <c r="G48" s="564"/>
      <c r="H48" s="289">
        <f t="shared" si="0"/>
        <v>5</v>
      </c>
      <c r="I48" s="259"/>
      <c r="J48" s="271"/>
      <c r="M48" s="778"/>
      <c r="O48" s="260"/>
      <c r="P48" s="258"/>
    </row>
    <row r="49" spans="1:16" ht="58.5" customHeight="1">
      <c r="A49" s="478"/>
      <c r="B49" s="411" t="s">
        <v>1132</v>
      </c>
      <c r="C49" s="762" t="s">
        <v>1149</v>
      </c>
      <c r="D49" s="785">
        <v>104</v>
      </c>
      <c r="E49" s="290"/>
      <c r="F49" s="290"/>
      <c r="G49" s="564"/>
      <c r="H49" s="289">
        <f t="shared" si="0"/>
        <v>104</v>
      </c>
      <c r="I49" s="259"/>
      <c r="J49" s="271"/>
      <c r="M49" s="778"/>
      <c r="O49" s="260"/>
      <c r="P49" s="258"/>
    </row>
    <row r="50" spans="1:16" ht="46.5" customHeight="1">
      <c r="A50" s="478"/>
      <c r="B50" s="411" t="s">
        <v>1133</v>
      </c>
      <c r="C50" s="762" t="s">
        <v>1134</v>
      </c>
      <c r="D50" s="785">
        <v>1</v>
      </c>
      <c r="E50" s="290"/>
      <c r="F50" s="290"/>
      <c r="G50" s="564"/>
      <c r="H50" s="289">
        <f t="shared" si="0"/>
        <v>1</v>
      </c>
      <c r="I50" s="259"/>
      <c r="J50" s="271"/>
      <c r="M50" s="778"/>
      <c r="O50" s="260"/>
      <c r="P50" s="258"/>
    </row>
    <row r="51" spans="1:16" ht="47.25" customHeight="1">
      <c r="A51" s="478"/>
      <c r="B51" s="758" t="s">
        <v>1135</v>
      </c>
      <c r="C51" s="762" t="s">
        <v>1150</v>
      </c>
      <c r="D51" s="785">
        <v>48</v>
      </c>
      <c r="E51" s="290"/>
      <c r="F51" s="290"/>
      <c r="G51" s="564"/>
      <c r="H51" s="289">
        <f t="shared" si="0"/>
        <v>48</v>
      </c>
      <c r="J51" s="271"/>
      <c r="M51" s="778"/>
      <c r="O51" s="260"/>
      <c r="P51" s="258"/>
    </row>
    <row r="52" spans="1:16" ht="46.5" customHeight="1">
      <c r="A52" s="479"/>
      <c r="B52" s="411" t="s">
        <v>1136</v>
      </c>
      <c r="C52" s="762" t="s">
        <v>1137</v>
      </c>
      <c r="D52" s="785">
        <v>51</v>
      </c>
      <c r="E52" s="290"/>
      <c r="F52" s="290"/>
      <c r="G52" s="564"/>
      <c r="H52" s="289"/>
      <c r="M52" s="778"/>
      <c r="O52" s="260"/>
      <c r="P52" s="258"/>
    </row>
    <row r="53" spans="1:16" ht="38.25">
      <c r="A53" s="480"/>
      <c r="B53" s="779" t="s">
        <v>1152</v>
      </c>
      <c r="C53" s="780" t="s">
        <v>1151</v>
      </c>
      <c r="D53" s="785">
        <v>4</v>
      </c>
      <c r="E53" s="290"/>
      <c r="F53" s="290"/>
      <c r="G53" s="564"/>
      <c r="H53" s="289"/>
      <c r="M53" s="778"/>
      <c r="O53" s="260"/>
      <c r="P53" s="258"/>
    </row>
    <row r="54" spans="1:16" ht="36">
      <c r="A54" s="441"/>
      <c r="B54" s="766" t="s">
        <v>1140</v>
      </c>
      <c r="C54" s="763" t="s">
        <v>1141</v>
      </c>
      <c r="D54" s="790">
        <v>56</v>
      </c>
      <c r="E54" s="290"/>
      <c r="F54" s="290"/>
      <c r="G54" s="564"/>
      <c r="H54" s="289"/>
      <c r="M54" s="778"/>
      <c r="O54" s="260"/>
      <c r="P54" s="258"/>
    </row>
    <row r="55" spans="1:16" ht="48">
      <c r="B55" s="411" t="s">
        <v>1138</v>
      </c>
      <c r="C55" s="763" t="s">
        <v>1139</v>
      </c>
      <c r="D55" s="785">
        <v>657</v>
      </c>
      <c r="E55" s="290"/>
      <c r="F55" s="290"/>
      <c r="G55" s="564"/>
      <c r="H55" s="289"/>
      <c r="M55"/>
      <c r="O55" s="260"/>
      <c r="P55" s="258"/>
    </row>
    <row r="56" spans="1:16" ht="48">
      <c r="A56" s="767">
        <v>9</v>
      </c>
      <c r="B56" s="411" t="s">
        <v>1142</v>
      </c>
      <c r="C56" s="765" t="s">
        <v>1143</v>
      </c>
      <c r="D56" s="785">
        <v>940</v>
      </c>
      <c r="E56" s="290"/>
      <c r="F56" s="290"/>
      <c r="G56" s="564"/>
      <c r="H56" s="289"/>
      <c r="M56"/>
      <c r="O56" s="260"/>
      <c r="P56" s="258"/>
    </row>
    <row r="57" spans="1:16" ht="12.75">
      <c r="A57" s="298"/>
      <c r="B57" s="760" t="s">
        <v>338</v>
      </c>
      <c r="C57" s="288" t="s">
        <v>339</v>
      </c>
      <c r="D57" s="289">
        <f>D58</f>
        <v>504.1</v>
      </c>
      <c r="E57" s="290">
        <f>E58</f>
        <v>979.6</v>
      </c>
      <c r="F57" s="290">
        <f>F58</f>
        <v>1379.6</v>
      </c>
      <c r="G57" s="289">
        <f>G58</f>
        <v>0</v>
      </c>
      <c r="H57" s="289">
        <f t="shared" si="0"/>
        <v>504.1</v>
      </c>
      <c r="M57"/>
      <c r="O57" s="260"/>
      <c r="P57" s="258"/>
    </row>
    <row r="58" spans="1:16">
      <c r="A58" s="298"/>
      <c r="B58" s="761" t="s">
        <v>340</v>
      </c>
      <c r="C58" s="450" t="s">
        <v>174</v>
      </c>
      <c r="D58" s="451">
        <v>504.1</v>
      </c>
      <c r="E58" s="452">
        <v>979.6</v>
      </c>
      <c r="F58" s="452">
        <v>1379.6</v>
      </c>
      <c r="G58" s="451"/>
      <c r="H58" s="289">
        <f t="shared" si="0"/>
        <v>504.1</v>
      </c>
    </row>
    <row r="59" spans="1:16">
      <c r="N59" s="266"/>
    </row>
    <row r="62" spans="1:16">
      <c r="N62" s="266"/>
    </row>
    <row r="65" spans="14:14">
      <c r="N65" s="266"/>
    </row>
    <row r="66" spans="14:14">
      <c r="N66" s="266"/>
    </row>
    <row r="67" spans="14:14">
      <c r="N67" s="266"/>
    </row>
    <row r="68" spans="14:14">
      <c r="N68" s="266"/>
    </row>
    <row r="71" spans="14:14">
      <c r="N71" s="266"/>
    </row>
    <row r="72" spans="14:14">
      <c r="N72" s="266"/>
    </row>
  </sheetData>
  <mergeCells count="8">
    <mergeCell ref="B11:C11"/>
    <mergeCell ref="D1:F1"/>
    <mergeCell ref="C5:F5"/>
    <mergeCell ref="C6:F6"/>
    <mergeCell ref="C2:F2"/>
    <mergeCell ref="C3:F3"/>
    <mergeCell ref="C4:F4"/>
    <mergeCell ref="B8:D8"/>
  </mergeCells>
  <phoneticPr fontId="13" type="noConversion"/>
  <pageMargins left="1.1417322834645669" right="0.35433070866141736" top="0.59055118110236227" bottom="0.59055118110236227" header="0" footer="0"/>
  <pageSetup paperSize="9"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58"/>
  <sheetViews>
    <sheetView view="pageBreakPreview" zoomScale="110" zoomScaleSheetLayoutView="110" workbookViewId="0">
      <selection activeCell="H58" sqref="A1:H58"/>
    </sheetView>
  </sheetViews>
  <sheetFormatPr defaultRowHeight="12"/>
  <cols>
    <col min="1" max="1" width="5.7109375" style="258" bestFit="1" customWidth="1"/>
    <col min="2" max="2" width="21.7109375" style="299" bestFit="1" customWidth="1"/>
    <col min="3" max="3" width="57.42578125" style="261" customWidth="1"/>
    <col min="4" max="4" width="14" style="262" hidden="1" customWidth="1"/>
    <col min="5" max="5" width="12.7109375" style="263" hidden="1" customWidth="1"/>
    <col min="6" max="6" width="0.28515625" style="300" hidden="1" customWidth="1"/>
    <col min="7" max="7" width="12" style="258" bestFit="1" customWidth="1"/>
    <col min="8" max="8" width="12" style="259" bestFit="1" customWidth="1"/>
    <col min="9" max="9" width="12.28515625" style="260" customWidth="1"/>
    <col min="10" max="10" width="12.28515625" style="258" customWidth="1"/>
    <col min="11" max="11" width="14.5703125" style="258" customWidth="1"/>
    <col min="12" max="12" width="14.85546875" style="258" customWidth="1"/>
    <col min="13" max="16384" width="9.140625" style="258"/>
  </cols>
  <sheetData>
    <row r="1" spans="1:12" ht="12.75">
      <c r="B1" s="261"/>
      <c r="C1" s="866" t="s">
        <v>448</v>
      </c>
      <c r="D1" s="866"/>
      <c r="E1" s="866"/>
      <c r="F1" s="866"/>
      <c r="G1" s="866"/>
      <c r="H1" s="866"/>
    </row>
    <row r="2" spans="1:12" ht="12.75">
      <c r="B2" s="261"/>
      <c r="C2" s="866" t="s">
        <v>204</v>
      </c>
      <c r="D2" s="866"/>
      <c r="E2" s="866"/>
      <c r="F2" s="866"/>
      <c r="G2" s="866"/>
      <c r="H2" s="866"/>
    </row>
    <row r="3" spans="1:12" ht="12.75">
      <c r="B3" s="261"/>
      <c r="C3" s="866" t="s">
        <v>306</v>
      </c>
      <c r="D3" s="866"/>
      <c r="E3" s="866"/>
      <c r="F3" s="866"/>
      <c r="G3" s="866"/>
      <c r="H3" s="866"/>
    </row>
    <row r="4" spans="1:12" ht="13.5" customHeight="1">
      <c r="B4" s="261"/>
      <c r="C4" s="866" t="s">
        <v>469</v>
      </c>
      <c r="D4" s="866"/>
      <c r="E4" s="866"/>
      <c r="F4" s="866"/>
      <c r="G4" s="866"/>
      <c r="H4" s="866"/>
    </row>
    <row r="5" spans="1:12" ht="12.75">
      <c r="B5" s="261"/>
      <c r="C5" s="866" t="s">
        <v>846</v>
      </c>
      <c r="D5" s="866"/>
      <c r="E5" s="866"/>
      <c r="F5" s="866"/>
      <c r="G5" s="866"/>
      <c r="H5" s="866"/>
    </row>
    <row r="6" spans="1:12" ht="12.75">
      <c r="B6" s="261"/>
      <c r="C6" s="866" t="s">
        <v>1090</v>
      </c>
      <c r="D6" s="866"/>
      <c r="E6" s="866"/>
      <c r="F6" s="866"/>
      <c r="G6" s="866"/>
      <c r="H6" s="866"/>
    </row>
    <row r="7" spans="1:12">
      <c r="B7" s="261"/>
      <c r="F7" s="264"/>
    </row>
    <row r="8" spans="1:12" ht="12" customHeight="1">
      <c r="A8" s="863" t="s">
        <v>1089</v>
      </c>
      <c r="B8" s="863"/>
      <c r="C8" s="863"/>
      <c r="D8" s="863"/>
      <c r="E8" s="863"/>
      <c r="F8" s="863"/>
      <c r="G8" s="863"/>
      <c r="H8" s="863"/>
    </row>
    <row r="9" spans="1:12">
      <c r="B9" s="261"/>
      <c r="F9" s="264"/>
      <c r="H9" s="586" t="s">
        <v>155</v>
      </c>
    </row>
    <row r="10" spans="1:12" ht="27.75" customHeight="1">
      <c r="A10" s="563" t="s">
        <v>368</v>
      </c>
      <c r="B10" s="563" t="s">
        <v>109</v>
      </c>
      <c r="C10" s="563" t="s">
        <v>209</v>
      </c>
      <c r="D10" s="563" t="s">
        <v>573</v>
      </c>
      <c r="E10" s="563" t="s">
        <v>574</v>
      </c>
      <c r="F10" s="265" t="s">
        <v>135</v>
      </c>
      <c r="G10" s="695" t="s">
        <v>765</v>
      </c>
      <c r="H10" s="695" t="s">
        <v>1088</v>
      </c>
      <c r="I10" s="593" t="s">
        <v>574</v>
      </c>
      <c r="J10" s="593" t="s">
        <v>643</v>
      </c>
      <c r="K10" s="518" t="s">
        <v>600</v>
      </c>
      <c r="L10" s="518" t="s">
        <v>601</v>
      </c>
    </row>
    <row r="11" spans="1:12" s="266" customFormat="1" ht="12" customHeight="1">
      <c r="A11" s="563"/>
      <c r="B11" s="864" t="s">
        <v>110</v>
      </c>
      <c r="C11" s="865"/>
      <c r="D11" s="569" t="e">
        <f>D12+D23+D27+D29+D33+D36+D38+D42+D52+D18</f>
        <v>#REF!</v>
      </c>
      <c r="E11" s="569" t="e">
        <f>E12+E23+E27+E29+E33+E36+E38+E42+E52+E18</f>
        <v>#REF!</v>
      </c>
      <c r="F11" s="265" t="e">
        <f>F12+F23+F27+F29+F33+F39+F41+F45+F53+F18</f>
        <v>#REF!</v>
      </c>
      <c r="G11" s="569">
        <f>G12+G18+G23+G27+G29+G33+G38+G42+G57</f>
        <v>281649.7</v>
      </c>
      <c r="H11" s="569">
        <f>H12+H18+H23+H27+H29+H33+H38+H42+H57</f>
        <v>288200.69999999995</v>
      </c>
      <c r="I11" s="569">
        <f>I12+I18+I23+I27+I29+I33+I38+I42+I57</f>
        <v>0</v>
      </c>
      <c r="J11" s="569">
        <f>J12+J18+J23+J27+J29+J33+J38+J42+J57</f>
        <v>0</v>
      </c>
      <c r="K11" s="519">
        <f>G11-I11</f>
        <v>281649.7</v>
      </c>
      <c r="L11" s="519">
        <f>H11-J11</f>
        <v>288200.69999999995</v>
      </c>
    </row>
    <row r="12" spans="1:12" s="266" customFormat="1">
      <c r="A12" s="563">
        <v>1</v>
      </c>
      <c r="B12" s="561" t="s">
        <v>111</v>
      </c>
      <c r="C12" s="288" t="s">
        <v>112</v>
      </c>
      <c r="D12" s="570">
        <f>D13</f>
        <v>120813.4</v>
      </c>
      <c r="E12" s="570">
        <f>E13</f>
        <v>125224.79999999999</v>
      </c>
      <c r="F12" s="290">
        <f t="shared" ref="F12" si="0">F13</f>
        <v>0</v>
      </c>
      <c r="G12" s="570">
        <f>G13</f>
        <v>245819.69999999998</v>
      </c>
      <c r="H12" s="570">
        <f>H13</f>
        <v>250646.5</v>
      </c>
      <c r="I12" s="570">
        <f>I13</f>
        <v>0</v>
      </c>
      <c r="J12" s="570">
        <f>J13</f>
        <v>0</v>
      </c>
      <c r="K12" s="519">
        <f t="shared" ref="K12:K54" si="1">G12-I12</f>
        <v>245819.69999999998</v>
      </c>
      <c r="L12" s="519">
        <f t="shared" ref="L12:L54" si="2">H12-J12</f>
        <v>250646.5</v>
      </c>
    </row>
    <row r="13" spans="1:12" ht="12" customHeight="1">
      <c r="A13" s="268"/>
      <c r="B13" s="449" t="s">
        <v>113</v>
      </c>
      <c r="C13" s="450" t="s">
        <v>114</v>
      </c>
      <c r="D13" s="564">
        <f>D14+D15+D16+D17</f>
        <v>120813.4</v>
      </c>
      <c r="E13" s="564">
        <f>E14+E15+E16+E17</f>
        <v>125224.79999999999</v>
      </c>
      <c r="F13" s="452"/>
      <c r="G13" s="564">
        <f>G14+G15+G16+G17</f>
        <v>245819.69999999998</v>
      </c>
      <c r="H13" s="564">
        <f>H14+H15+H16+H17</f>
        <v>250646.5</v>
      </c>
      <c r="I13" s="564"/>
      <c r="J13" s="564"/>
      <c r="K13" s="519">
        <f t="shared" si="1"/>
        <v>245819.69999999998</v>
      </c>
      <c r="L13" s="519">
        <f t="shared" si="2"/>
        <v>250646.5</v>
      </c>
    </row>
    <row r="14" spans="1:12" ht="72">
      <c r="A14" s="272"/>
      <c r="B14" s="449" t="s">
        <v>375</v>
      </c>
      <c r="C14" s="450" t="s">
        <v>570</v>
      </c>
      <c r="D14" s="564">
        <v>119985.8</v>
      </c>
      <c r="E14" s="564">
        <v>124305.2</v>
      </c>
      <c r="F14" s="452"/>
      <c r="G14" s="451">
        <v>245145.5</v>
      </c>
      <c r="H14" s="451">
        <v>249959.1</v>
      </c>
      <c r="I14" s="451"/>
      <c r="J14" s="451"/>
      <c r="K14" s="519">
        <f t="shared" si="1"/>
        <v>245145.5</v>
      </c>
      <c r="L14" s="519">
        <f t="shared" si="2"/>
        <v>249959.1</v>
      </c>
    </row>
    <row r="15" spans="1:12" s="266" customFormat="1" ht="72">
      <c r="A15" s="273"/>
      <c r="B15" s="449" t="s">
        <v>376</v>
      </c>
      <c r="C15" s="455" t="s">
        <v>320</v>
      </c>
      <c r="D15" s="564">
        <v>117.5</v>
      </c>
      <c r="E15" s="564">
        <v>183.9</v>
      </c>
      <c r="F15" s="452"/>
      <c r="G15" s="451">
        <v>134.9</v>
      </c>
      <c r="H15" s="451">
        <v>137.5</v>
      </c>
      <c r="I15" s="451"/>
      <c r="J15" s="451"/>
      <c r="K15" s="519">
        <f t="shared" si="1"/>
        <v>134.9</v>
      </c>
      <c r="L15" s="519">
        <f t="shared" si="2"/>
        <v>137.5</v>
      </c>
    </row>
    <row r="16" spans="1:12" ht="27" customHeight="1">
      <c r="A16" s="273"/>
      <c r="B16" s="449" t="s">
        <v>377</v>
      </c>
      <c r="C16" s="450" t="s">
        <v>374</v>
      </c>
      <c r="D16" s="564">
        <v>692.4</v>
      </c>
      <c r="E16" s="564">
        <v>717.3</v>
      </c>
      <c r="F16" s="452"/>
      <c r="G16" s="451">
        <v>513.29999999999995</v>
      </c>
      <c r="H16" s="451">
        <v>523.4</v>
      </c>
      <c r="I16" s="451"/>
      <c r="J16" s="451"/>
      <c r="K16" s="519">
        <f t="shared" si="1"/>
        <v>513.29999999999995</v>
      </c>
      <c r="L16" s="519">
        <f t="shared" si="2"/>
        <v>523.4</v>
      </c>
    </row>
    <row r="17" spans="1:12" ht="13.5" customHeight="1">
      <c r="A17" s="273"/>
      <c r="B17" s="449" t="s">
        <v>378</v>
      </c>
      <c r="C17" s="455" t="s">
        <v>21</v>
      </c>
      <c r="D17" s="564">
        <v>17.7</v>
      </c>
      <c r="E17" s="564">
        <v>18.399999999999999</v>
      </c>
      <c r="F17" s="452"/>
      <c r="G17" s="451">
        <v>26</v>
      </c>
      <c r="H17" s="451">
        <v>26.5</v>
      </c>
      <c r="I17" s="451"/>
      <c r="J17" s="451"/>
      <c r="K17" s="519">
        <f t="shared" si="1"/>
        <v>26</v>
      </c>
      <c r="L17" s="519">
        <f t="shared" si="2"/>
        <v>26.5</v>
      </c>
    </row>
    <row r="18" spans="1:12" ht="24">
      <c r="A18" s="276">
        <v>2</v>
      </c>
      <c r="B18" s="457" t="s">
        <v>362</v>
      </c>
      <c r="C18" s="458" t="s">
        <v>123</v>
      </c>
      <c r="D18" s="570">
        <f>SUM(D19:D22)</f>
        <v>11315.1</v>
      </c>
      <c r="E18" s="570">
        <f>SUM(E19:E22)</f>
        <v>11315.1</v>
      </c>
      <c r="F18" s="290">
        <f>F19+F20+F21+F22</f>
        <v>103.6</v>
      </c>
      <c r="G18" s="570">
        <f>SUM(G19:G22)</f>
        <v>13938</v>
      </c>
      <c r="H18" s="570">
        <f>SUM(H19:H22)</f>
        <v>13938</v>
      </c>
      <c r="I18" s="570">
        <f>SUM(I19:I22)</f>
        <v>0</v>
      </c>
      <c r="J18" s="570">
        <f>SUM(J19:J22)</f>
        <v>0</v>
      </c>
      <c r="K18" s="519">
        <f t="shared" si="1"/>
        <v>13938</v>
      </c>
      <c r="L18" s="519">
        <f t="shared" si="2"/>
        <v>13938</v>
      </c>
    </row>
    <row r="19" spans="1:12" ht="12.75" customHeight="1">
      <c r="A19" s="277"/>
      <c r="B19" s="460" t="s">
        <v>363</v>
      </c>
      <c r="C19" s="461" t="s">
        <v>23</v>
      </c>
      <c r="D19" s="571">
        <v>4304.2</v>
      </c>
      <c r="E19" s="571">
        <v>4304.2</v>
      </c>
      <c r="F19" s="462"/>
      <c r="G19" s="791">
        <v>6415.33</v>
      </c>
      <c r="H19" s="791">
        <v>6415.33</v>
      </c>
      <c r="I19" s="462"/>
      <c r="J19" s="462"/>
      <c r="K19" s="519">
        <f t="shared" si="1"/>
        <v>6415.33</v>
      </c>
      <c r="L19" s="519">
        <f t="shared" si="2"/>
        <v>6415.33</v>
      </c>
    </row>
    <row r="20" spans="1:12" s="266" customFormat="1" ht="60">
      <c r="A20" s="278"/>
      <c r="B20" s="460" t="s">
        <v>364</v>
      </c>
      <c r="C20" s="461" t="s">
        <v>25</v>
      </c>
      <c r="D20" s="571">
        <v>29.4</v>
      </c>
      <c r="E20" s="571">
        <v>29.4</v>
      </c>
      <c r="F20" s="462"/>
      <c r="G20" s="791">
        <v>31.63</v>
      </c>
      <c r="H20" s="791">
        <v>31.63</v>
      </c>
      <c r="I20" s="462"/>
      <c r="J20" s="462"/>
      <c r="K20" s="519">
        <f t="shared" si="1"/>
        <v>31.63</v>
      </c>
      <c r="L20" s="519">
        <f t="shared" si="2"/>
        <v>31.63</v>
      </c>
    </row>
    <row r="21" spans="1:12" ht="48">
      <c r="A21" s="272"/>
      <c r="B21" s="460" t="s">
        <v>365</v>
      </c>
      <c r="C21" s="461" t="s">
        <v>27</v>
      </c>
      <c r="D21" s="571">
        <v>7726.9</v>
      </c>
      <c r="E21" s="571">
        <v>7726.9</v>
      </c>
      <c r="F21" s="464"/>
      <c r="G21" s="791">
        <v>8305.2900000000009</v>
      </c>
      <c r="H21" s="791">
        <v>8305.2900000000009</v>
      </c>
      <c r="I21" s="462"/>
      <c r="J21" s="462"/>
      <c r="K21" s="519">
        <f t="shared" si="1"/>
        <v>8305.2900000000009</v>
      </c>
      <c r="L21" s="519">
        <f t="shared" si="2"/>
        <v>8305.2900000000009</v>
      </c>
    </row>
    <row r="22" spans="1:12" ht="48">
      <c r="A22" s="272"/>
      <c r="B22" s="460" t="s">
        <v>366</v>
      </c>
      <c r="C22" s="461" t="s">
        <v>29</v>
      </c>
      <c r="D22" s="571">
        <v>-745.4</v>
      </c>
      <c r="E22" s="571">
        <v>-745.4</v>
      </c>
      <c r="F22" s="464">
        <v>103.6</v>
      </c>
      <c r="G22" s="791">
        <v>-814.25</v>
      </c>
      <c r="H22" s="791">
        <v>-814.25</v>
      </c>
      <c r="I22" s="462"/>
      <c r="J22" s="462"/>
      <c r="K22" s="519">
        <f t="shared" si="1"/>
        <v>-814.25</v>
      </c>
      <c r="L22" s="519">
        <f t="shared" si="2"/>
        <v>-814.25</v>
      </c>
    </row>
    <row r="23" spans="1:12">
      <c r="A23" s="561">
        <v>3</v>
      </c>
      <c r="B23" s="465" t="s">
        <v>115</v>
      </c>
      <c r="C23" s="288" t="s">
        <v>322</v>
      </c>
      <c r="D23" s="570" t="e">
        <f>#REF!+D25+D26+D24</f>
        <v>#REF!</v>
      </c>
      <c r="E23" s="570" t="e">
        <f>#REF!+E25+E26+E24</f>
        <v>#REF!</v>
      </c>
      <c r="F23" s="290" t="e">
        <f>#REF!+F25+F26</f>
        <v>#REF!</v>
      </c>
      <c r="G23" s="570">
        <f>G25+G26+G24</f>
        <v>6905.8</v>
      </c>
      <c r="H23" s="570">
        <f t="shared" ref="H23:J23" si="3">H25+H26+H24</f>
        <v>8200.6999999999989</v>
      </c>
      <c r="I23" s="570">
        <f t="shared" si="3"/>
        <v>0</v>
      </c>
      <c r="J23" s="570">
        <f t="shared" si="3"/>
        <v>0</v>
      </c>
      <c r="K23" s="519">
        <f t="shared" si="1"/>
        <v>6905.8</v>
      </c>
      <c r="L23" s="519">
        <f t="shared" si="2"/>
        <v>8200.6999999999989</v>
      </c>
    </row>
    <row r="24" spans="1:12">
      <c r="A24" s="562"/>
      <c r="B24" s="506" t="s">
        <v>571</v>
      </c>
      <c r="C24" s="450" t="s">
        <v>572</v>
      </c>
      <c r="D24" s="564">
        <v>5881.5</v>
      </c>
      <c r="E24" s="564">
        <v>6923.9</v>
      </c>
      <c r="F24" s="290"/>
      <c r="G24" s="451">
        <v>5831.5</v>
      </c>
      <c r="H24" s="451">
        <v>6816.4</v>
      </c>
      <c r="I24" s="451"/>
      <c r="J24" s="451"/>
      <c r="K24" s="519">
        <f t="shared" ref="K24:L26" si="4">G24-I24</f>
        <v>5831.5</v>
      </c>
      <c r="L24" s="519">
        <f t="shared" si="4"/>
        <v>6816.4</v>
      </c>
    </row>
    <row r="25" spans="1:12">
      <c r="A25" s="280"/>
      <c r="B25" s="467" t="s">
        <v>323</v>
      </c>
      <c r="C25" s="450" t="s">
        <v>35</v>
      </c>
      <c r="D25" s="564">
        <v>368.9</v>
      </c>
      <c r="E25" s="564">
        <v>387.5</v>
      </c>
      <c r="F25" s="452">
        <v>143.5</v>
      </c>
      <c r="G25" s="451">
        <v>722.1</v>
      </c>
      <c r="H25" s="451">
        <v>1032.0999999999999</v>
      </c>
      <c r="I25" s="451"/>
      <c r="J25" s="451"/>
      <c r="K25" s="519">
        <f t="shared" si="4"/>
        <v>722.1</v>
      </c>
      <c r="L25" s="519">
        <f t="shared" si="4"/>
        <v>1032.0999999999999</v>
      </c>
    </row>
    <row r="26" spans="1:12" s="266" customFormat="1" ht="24">
      <c r="A26" s="281"/>
      <c r="B26" s="466" t="s">
        <v>61</v>
      </c>
      <c r="C26" s="469" t="s">
        <v>60</v>
      </c>
      <c r="D26" s="564">
        <v>239.4</v>
      </c>
      <c r="E26" s="564">
        <v>250.4</v>
      </c>
      <c r="F26" s="452">
        <v>510.5</v>
      </c>
      <c r="G26" s="451">
        <v>352.2</v>
      </c>
      <c r="H26" s="451">
        <v>352.2</v>
      </c>
      <c r="I26" s="451"/>
      <c r="J26" s="451"/>
      <c r="K26" s="519">
        <f t="shared" si="4"/>
        <v>352.2</v>
      </c>
      <c r="L26" s="519">
        <f t="shared" si="4"/>
        <v>352.2</v>
      </c>
    </row>
    <row r="27" spans="1:12" ht="12" customHeight="1">
      <c r="A27" s="563">
        <v>4</v>
      </c>
      <c r="B27" s="561" t="s">
        <v>324</v>
      </c>
      <c r="C27" s="288" t="s">
        <v>325</v>
      </c>
      <c r="D27" s="570">
        <f>D28</f>
        <v>4284</v>
      </c>
      <c r="E27" s="570">
        <f>E28</f>
        <v>4120</v>
      </c>
      <c r="F27" s="290">
        <f t="shared" ref="F27" si="5">F28</f>
        <v>2317.3000000000002</v>
      </c>
      <c r="G27" s="570">
        <f>G28</f>
        <v>3851.4</v>
      </c>
      <c r="H27" s="570">
        <f>H28</f>
        <v>3869.2</v>
      </c>
      <c r="I27" s="570">
        <f>I28</f>
        <v>0</v>
      </c>
      <c r="J27" s="570">
        <f>J28</f>
        <v>0</v>
      </c>
      <c r="K27" s="519">
        <f t="shared" si="1"/>
        <v>3851.4</v>
      </c>
      <c r="L27" s="519">
        <f t="shared" si="2"/>
        <v>3869.2</v>
      </c>
    </row>
    <row r="28" spans="1:12" ht="36">
      <c r="A28" s="279"/>
      <c r="B28" s="449" t="s">
        <v>295</v>
      </c>
      <c r="C28" s="450" t="s">
        <v>38</v>
      </c>
      <c r="D28" s="564">
        <v>4284</v>
      </c>
      <c r="E28" s="564">
        <v>4120</v>
      </c>
      <c r="F28" s="452">
        <v>2317.3000000000002</v>
      </c>
      <c r="G28" s="451">
        <v>3851.4</v>
      </c>
      <c r="H28" s="451">
        <v>3869.2</v>
      </c>
      <c r="I28" s="451"/>
      <c r="J28" s="451"/>
      <c r="K28" s="519">
        <f t="shared" si="1"/>
        <v>3851.4</v>
      </c>
      <c r="L28" s="519">
        <f t="shared" si="2"/>
        <v>3869.2</v>
      </c>
    </row>
    <row r="29" spans="1:12" s="266" customFormat="1" ht="36">
      <c r="A29" s="282">
        <v>5</v>
      </c>
      <c r="B29" s="561" t="s">
        <v>326</v>
      </c>
      <c r="C29" s="288" t="s">
        <v>327</v>
      </c>
      <c r="D29" s="570">
        <f>D30+D31+D32</f>
        <v>6408.9</v>
      </c>
      <c r="E29" s="570">
        <f>E30+E31+E32</f>
        <v>6408.9</v>
      </c>
      <c r="F29" s="290">
        <f>F30+F32+F31</f>
        <v>9120.1209999999992</v>
      </c>
      <c r="G29" s="570">
        <f>G30+G31+G32</f>
        <v>7074</v>
      </c>
      <c r="H29" s="570">
        <f>H30+H31+H32</f>
        <v>7086.6</v>
      </c>
      <c r="I29" s="570">
        <f>I30+I31+I32</f>
        <v>0</v>
      </c>
      <c r="J29" s="570">
        <f>J30+J31+J32</f>
        <v>0</v>
      </c>
      <c r="K29" s="519">
        <f t="shared" si="1"/>
        <v>7074</v>
      </c>
      <c r="L29" s="519">
        <f t="shared" si="2"/>
        <v>7086.6</v>
      </c>
    </row>
    <row r="30" spans="1:12" ht="48">
      <c r="A30" s="283"/>
      <c r="B30" s="466" t="s">
        <v>644</v>
      </c>
      <c r="C30" s="284" t="s">
        <v>131</v>
      </c>
      <c r="D30" s="564">
        <v>1433.7</v>
      </c>
      <c r="E30" s="564">
        <v>1433.7</v>
      </c>
      <c r="F30" s="452">
        <f>2100.5+289.221</f>
        <v>2389.721</v>
      </c>
      <c r="G30" s="451">
        <v>3074</v>
      </c>
      <c r="H30" s="451">
        <v>3086.6</v>
      </c>
      <c r="I30" s="451"/>
      <c r="J30" s="451"/>
      <c r="K30" s="519">
        <f t="shared" si="1"/>
        <v>3074</v>
      </c>
      <c r="L30" s="519">
        <f t="shared" si="2"/>
        <v>3086.6</v>
      </c>
    </row>
    <row r="31" spans="1:12" ht="60" hidden="1">
      <c r="A31" s="283"/>
      <c r="B31" s="466" t="s">
        <v>129</v>
      </c>
      <c r="C31" s="284" t="s">
        <v>130</v>
      </c>
      <c r="D31" s="564">
        <v>1164.8</v>
      </c>
      <c r="E31" s="564">
        <v>1164.8</v>
      </c>
      <c r="F31" s="452">
        <v>917.3</v>
      </c>
      <c r="G31" s="451"/>
      <c r="H31" s="451"/>
      <c r="I31" s="451"/>
      <c r="J31" s="451"/>
      <c r="K31" s="519">
        <f t="shared" si="1"/>
        <v>0</v>
      </c>
      <c r="L31" s="519">
        <f t="shared" si="2"/>
        <v>0</v>
      </c>
    </row>
    <row r="32" spans="1:12" s="266" customFormat="1" ht="48">
      <c r="A32" s="281"/>
      <c r="B32" s="466" t="s">
        <v>328</v>
      </c>
      <c r="C32" s="284" t="s">
        <v>86</v>
      </c>
      <c r="D32" s="564">
        <v>3810.4</v>
      </c>
      <c r="E32" s="564">
        <v>3810.4</v>
      </c>
      <c r="F32" s="452">
        <v>5813.1</v>
      </c>
      <c r="G32" s="451">
        <v>4000</v>
      </c>
      <c r="H32" s="451">
        <v>4000</v>
      </c>
      <c r="I32" s="451"/>
      <c r="J32" s="451"/>
      <c r="K32" s="519">
        <f t="shared" si="1"/>
        <v>4000</v>
      </c>
      <c r="L32" s="519">
        <f t="shared" si="2"/>
        <v>4000</v>
      </c>
    </row>
    <row r="33" spans="1:12" s="266" customFormat="1">
      <c r="A33" s="278">
        <v>6</v>
      </c>
      <c r="B33" s="561" t="s">
        <v>277</v>
      </c>
      <c r="C33" s="288" t="s">
        <v>329</v>
      </c>
      <c r="D33" s="570">
        <f>D34+D35</f>
        <v>136.4</v>
      </c>
      <c r="E33" s="570">
        <f>E34+E35</f>
        <v>136.4</v>
      </c>
      <c r="F33" s="290">
        <f t="shared" ref="F33" si="6">F34</f>
        <v>745.7</v>
      </c>
      <c r="G33" s="570">
        <f>G34+G35</f>
        <v>764.6</v>
      </c>
      <c r="H33" s="570">
        <f>H34+H35</f>
        <v>764.6</v>
      </c>
      <c r="I33" s="570">
        <f>I34+I35</f>
        <v>0</v>
      </c>
      <c r="J33" s="570">
        <f>J34+J35</f>
        <v>0</v>
      </c>
      <c r="K33" s="519">
        <f t="shared" si="1"/>
        <v>764.6</v>
      </c>
      <c r="L33" s="519">
        <f t="shared" si="2"/>
        <v>764.6</v>
      </c>
    </row>
    <row r="34" spans="1:12" s="266" customFormat="1" ht="24">
      <c r="A34" s="278"/>
      <c r="B34" s="466" t="s">
        <v>381</v>
      </c>
      <c r="C34" s="450" t="s">
        <v>379</v>
      </c>
      <c r="D34" s="564">
        <v>34.1</v>
      </c>
      <c r="E34" s="564">
        <v>34.1</v>
      </c>
      <c r="F34" s="451">
        <f t="shared" ref="F34" si="7">F35+F36+F37+F38</f>
        <v>745.7</v>
      </c>
      <c r="G34" s="451">
        <v>297</v>
      </c>
      <c r="H34" s="451">
        <v>297</v>
      </c>
      <c r="I34" s="451"/>
      <c r="J34" s="451"/>
      <c r="K34" s="519">
        <f t="shared" si="1"/>
        <v>297</v>
      </c>
      <c r="L34" s="519">
        <f t="shared" si="2"/>
        <v>297</v>
      </c>
    </row>
    <row r="35" spans="1:12" s="266" customFormat="1">
      <c r="A35" s="286"/>
      <c r="B35" s="466" t="s">
        <v>382</v>
      </c>
      <c r="C35" s="409" t="s">
        <v>380</v>
      </c>
      <c r="D35" s="572">
        <v>102.3</v>
      </c>
      <c r="E35" s="572">
        <v>102.3</v>
      </c>
      <c r="F35" s="451">
        <v>324.8</v>
      </c>
      <c r="G35" s="474">
        <v>467.6</v>
      </c>
      <c r="H35" s="474">
        <v>467.6</v>
      </c>
      <c r="I35" s="474"/>
      <c r="J35" s="474"/>
      <c r="K35" s="519">
        <f t="shared" si="1"/>
        <v>467.6</v>
      </c>
      <c r="L35" s="519">
        <f t="shared" si="2"/>
        <v>467.6</v>
      </c>
    </row>
    <row r="36" spans="1:12" ht="55.5" hidden="1" customHeight="1">
      <c r="A36" s="278">
        <v>7</v>
      </c>
      <c r="B36" s="561" t="s">
        <v>330</v>
      </c>
      <c r="C36" s="288" t="s">
        <v>331</v>
      </c>
      <c r="D36" s="570">
        <v>0</v>
      </c>
      <c r="E36" s="570">
        <v>0</v>
      </c>
      <c r="F36" s="474">
        <v>20.100000000000001</v>
      </c>
      <c r="G36" s="570">
        <v>0</v>
      </c>
      <c r="H36" s="570">
        <v>0</v>
      </c>
      <c r="I36" s="570">
        <v>0</v>
      </c>
      <c r="J36" s="570">
        <v>0</v>
      </c>
      <c r="K36" s="519">
        <f t="shared" si="1"/>
        <v>0</v>
      </c>
      <c r="L36" s="519">
        <f t="shared" si="2"/>
        <v>0</v>
      </c>
    </row>
    <row r="37" spans="1:12" ht="39" hidden="1" customHeight="1">
      <c r="A37" s="279"/>
      <c r="B37" s="449" t="s">
        <v>332</v>
      </c>
      <c r="C37" s="450" t="s">
        <v>170</v>
      </c>
      <c r="D37" s="564"/>
      <c r="E37" s="564"/>
      <c r="F37" s="474">
        <v>3.2</v>
      </c>
      <c r="G37" s="564"/>
      <c r="H37" s="564"/>
      <c r="I37" s="564"/>
      <c r="J37" s="564"/>
      <c r="K37" s="519">
        <f t="shared" si="1"/>
        <v>0</v>
      </c>
      <c r="L37" s="519">
        <f t="shared" si="2"/>
        <v>0</v>
      </c>
    </row>
    <row r="38" spans="1:12" s="266" customFormat="1" ht="24">
      <c r="A38" s="282">
        <v>7</v>
      </c>
      <c r="B38" s="561" t="s">
        <v>333</v>
      </c>
      <c r="C38" s="288" t="s">
        <v>334</v>
      </c>
      <c r="D38" s="570">
        <f>D39+D40+D41</f>
        <v>1425</v>
      </c>
      <c r="E38" s="570">
        <f>E39+E40+E41</f>
        <v>2425</v>
      </c>
      <c r="F38" s="474">
        <v>397.6</v>
      </c>
      <c r="G38" s="570">
        <f>G39+G40+G41</f>
        <v>450</v>
      </c>
      <c r="H38" s="570">
        <f>H39+H40+H41</f>
        <v>450</v>
      </c>
      <c r="I38" s="570">
        <f>I39+I40+I41</f>
        <v>0</v>
      </c>
      <c r="J38" s="570">
        <f>J39+J40+J41</f>
        <v>0</v>
      </c>
      <c r="K38" s="519">
        <f t="shared" si="1"/>
        <v>450</v>
      </c>
      <c r="L38" s="519">
        <f t="shared" si="2"/>
        <v>450</v>
      </c>
    </row>
    <row r="39" spans="1:12" ht="24" hidden="1" customHeight="1">
      <c r="A39" s="282"/>
      <c r="B39" s="466" t="s">
        <v>383</v>
      </c>
      <c r="C39" s="450" t="s">
        <v>335</v>
      </c>
      <c r="D39" s="564">
        <v>1000</v>
      </c>
      <c r="E39" s="564">
        <v>2000</v>
      </c>
      <c r="F39" s="290">
        <f>F40</f>
        <v>0</v>
      </c>
      <c r="G39" s="451"/>
      <c r="H39" s="451"/>
      <c r="I39" s="451"/>
      <c r="J39" s="451"/>
      <c r="K39" s="519">
        <f t="shared" si="1"/>
        <v>0</v>
      </c>
      <c r="L39" s="519">
        <f t="shared" si="2"/>
        <v>0</v>
      </c>
    </row>
    <row r="40" spans="1:12" ht="36" customHeight="1">
      <c r="A40" s="291"/>
      <c r="B40" s="466" t="s">
        <v>645</v>
      </c>
      <c r="C40" s="284" t="s">
        <v>132</v>
      </c>
      <c r="D40" s="564">
        <v>50</v>
      </c>
      <c r="E40" s="564">
        <v>50</v>
      </c>
      <c r="F40" s="452">
        <v>0</v>
      </c>
      <c r="G40" s="451">
        <v>40</v>
      </c>
      <c r="H40" s="451">
        <v>40</v>
      </c>
      <c r="I40" s="451"/>
      <c r="J40" s="451"/>
      <c r="K40" s="519">
        <f t="shared" si="1"/>
        <v>40</v>
      </c>
      <c r="L40" s="519">
        <f t="shared" si="2"/>
        <v>40</v>
      </c>
    </row>
    <row r="41" spans="1:12" s="266" customFormat="1" ht="36">
      <c r="A41" s="291"/>
      <c r="B41" s="466" t="s">
        <v>134</v>
      </c>
      <c r="C41" s="284" t="s">
        <v>133</v>
      </c>
      <c r="D41" s="564">
        <v>375</v>
      </c>
      <c r="E41" s="564">
        <v>375</v>
      </c>
      <c r="F41" s="290">
        <f>F42+F44+F43</f>
        <v>5753.8</v>
      </c>
      <c r="G41" s="451">
        <v>410</v>
      </c>
      <c r="H41" s="451">
        <v>410</v>
      </c>
      <c r="I41" s="451"/>
      <c r="J41" s="451"/>
      <c r="K41" s="519">
        <f t="shared" si="1"/>
        <v>410</v>
      </c>
      <c r="L41" s="519">
        <f t="shared" si="2"/>
        <v>410</v>
      </c>
    </row>
    <row r="42" spans="1:12" s="266" customFormat="1">
      <c r="A42" s="292">
        <v>8</v>
      </c>
      <c r="B42" s="561" t="s">
        <v>336</v>
      </c>
      <c r="C42" s="288" t="s">
        <v>337</v>
      </c>
      <c r="D42" s="570">
        <f>SUM(D43:D51)</f>
        <v>3244.4</v>
      </c>
      <c r="E42" s="570">
        <f>SUM(E43:E51)</f>
        <v>3618.5</v>
      </c>
      <c r="F42" s="452">
        <v>4458.1000000000004</v>
      </c>
      <c r="G42" s="570">
        <f>SUM(G43:G56)</f>
        <v>2273.5</v>
      </c>
      <c r="H42" s="570">
        <f>SUM(H43:H56)</f>
        <v>2594.5</v>
      </c>
      <c r="I42" s="570">
        <f>SUM(I43:I51)</f>
        <v>0</v>
      </c>
      <c r="J42" s="570">
        <f>SUM(J43:J51)</f>
        <v>0</v>
      </c>
      <c r="K42" s="519">
        <f t="shared" si="1"/>
        <v>2273.5</v>
      </c>
      <c r="L42" s="519">
        <f t="shared" si="2"/>
        <v>2594.5</v>
      </c>
    </row>
    <row r="43" spans="1:12" ht="48">
      <c r="A43" s="293"/>
      <c r="B43" s="411" t="s">
        <v>1123</v>
      </c>
      <c r="C43" s="762" t="s">
        <v>1146</v>
      </c>
      <c r="D43" s="564">
        <v>74.400000000000006</v>
      </c>
      <c r="E43" s="564">
        <v>83</v>
      </c>
      <c r="F43" s="452">
        <v>263.3</v>
      </c>
      <c r="G43" s="784">
        <v>9.5</v>
      </c>
      <c r="H43" s="785">
        <v>10.9</v>
      </c>
      <c r="I43" s="564"/>
      <c r="J43" s="564"/>
      <c r="K43" s="519">
        <f t="shared" si="1"/>
        <v>9.5</v>
      </c>
      <c r="L43" s="519">
        <f t="shared" si="2"/>
        <v>10.9</v>
      </c>
    </row>
    <row r="44" spans="1:12" ht="72">
      <c r="A44" s="285"/>
      <c r="B44" s="758" t="s">
        <v>1124</v>
      </c>
      <c r="C44" s="763" t="s">
        <v>1125</v>
      </c>
      <c r="D44" s="564">
        <v>231.2</v>
      </c>
      <c r="E44" s="564">
        <v>257.89999999999998</v>
      </c>
      <c r="F44" s="452">
        <v>1032.4000000000001</v>
      </c>
      <c r="G44" s="785">
        <v>72</v>
      </c>
      <c r="H44" s="785">
        <v>83</v>
      </c>
      <c r="I44" s="564"/>
      <c r="J44" s="564"/>
      <c r="K44" s="519">
        <f t="shared" si="1"/>
        <v>72</v>
      </c>
      <c r="L44" s="519">
        <f t="shared" si="2"/>
        <v>83</v>
      </c>
    </row>
    <row r="45" spans="1:12" ht="27.75" customHeight="1">
      <c r="A45" s="285"/>
      <c r="B45" s="759" t="s">
        <v>1126</v>
      </c>
      <c r="C45" s="764" t="s">
        <v>1127</v>
      </c>
      <c r="D45" s="564">
        <v>937.9</v>
      </c>
      <c r="E45" s="564">
        <v>1046</v>
      </c>
      <c r="F45" s="290">
        <f>SUM(F46:F52)</f>
        <v>1048.0999999999999</v>
      </c>
      <c r="G45" s="785">
        <v>2.9</v>
      </c>
      <c r="H45" s="785">
        <v>3.3</v>
      </c>
      <c r="I45" s="564"/>
      <c r="J45" s="564"/>
      <c r="K45" s="519">
        <f t="shared" si="1"/>
        <v>2.9</v>
      </c>
      <c r="L45" s="519">
        <f t="shared" si="2"/>
        <v>3.3</v>
      </c>
    </row>
    <row r="46" spans="1:12" ht="84">
      <c r="A46" s="285"/>
      <c r="B46" s="411" t="s">
        <v>1128</v>
      </c>
      <c r="C46" s="762" t="s">
        <v>1129</v>
      </c>
      <c r="D46" s="564">
        <v>526.4</v>
      </c>
      <c r="E46" s="564">
        <v>587.1</v>
      </c>
      <c r="F46" s="290">
        <v>29.8</v>
      </c>
      <c r="G46" s="785">
        <v>19</v>
      </c>
      <c r="H46" s="785">
        <v>22</v>
      </c>
      <c r="I46" s="564"/>
      <c r="J46" s="564"/>
      <c r="K46" s="519">
        <f t="shared" si="1"/>
        <v>19</v>
      </c>
      <c r="L46" s="519">
        <f t="shared" si="2"/>
        <v>22</v>
      </c>
    </row>
    <row r="47" spans="1:12" ht="60">
      <c r="A47" s="285"/>
      <c r="B47" s="758" t="s">
        <v>1130</v>
      </c>
      <c r="C47" s="762" t="s">
        <v>1147</v>
      </c>
      <c r="D47" s="564">
        <v>122.4</v>
      </c>
      <c r="E47" s="564">
        <v>136.5</v>
      </c>
      <c r="F47" s="290">
        <v>6</v>
      </c>
      <c r="G47" s="785">
        <v>40</v>
      </c>
      <c r="H47" s="785">
        <v>45</v>
      </c>
      <c r="I47" s="564"/>
      <c r="J47" s="564"/>
      <c r="K47" s="519">
        <f t="shared" si="1"/>
        <v>40</v>
      </c>
      <c r="L47" s="519">
        <f t="shared" si="2"/>
        <v>45</v>
      </c>
    </row>
    <row r="48" spans="1:12" ht="96">
      <c r="A48" s="285"/>
      <c r="B48" s="758" t="s">
        <v>1131</v>
      </c>
      <c r="C48" s="762" t="s">
        <v>1148</v>
      </c>
      <c r="D48" s="564">
        <v>228.5</v>
      </c>
      <c r="E48" s="564">
        <v>254.9</v>
      </c>
      <c r="F48" s="290">
        <v>198.9</v>
      </c>
      <c r="G48" s="785">
        <v>6</v>
      </c>
      <c r="H48" s="785">
        <v>6.5</v>
      </c>
      <c r="I48" s="564"/>
      <c r="J48" s="564"/>
      <c r="K48" s="519">
        <f t="shared" si="1"/>
        <v>6</v>
      </c>
      <c r="L48" s="519">
        <f t="shared" si="2"/>
        <v>6.5</v>
      </c>
    </row>
    <row r="49" spans="1:12" ht="29.25" customHeight="1">
      <c r="A49" s="285"/>
      <c r="B49" s="411" t="s">
        <v>1132</v>
      </c>
      <c r="C49" s="762" t="s">
        <v>1149</v>
      </c>
      <c r="D49" s="564">
        <v>0.8</v>
      </c>
      <c r="E49" s="564">
        <v>0.9</v>
      </c>
      <c r="F49" s="290">
        <v>179.1</v>
      </c>
      <c r="G49" s="785">
        <v>119</v>
      </c>
      <c r="H49" s="785">
        <v>136</v>
      </c>
      <c r="I49" s="564"/>
      <c r="J49" s="564"/>
      <c r="K49" s="519">
        <f t="shared" si="1"/>
        <v>119</v>
      </c>
      <c r="L49" s="519">
        <f t="shared" si="2"/>
        <v>136</v>
      </c>
    </row>
    <row r="50" spans="1:12" ht="51" customHeight="1">
      <c r="A50" s="285"/>
      <c r="B50" s="411" t="s">
        <v>1133</v>
      </c>
      <c r="C50" s="762" t="s">
        <v>1134</v>
      </c>
      <c r="D50" s="564">
        <v>56.2</v>
      </c>
      <c r="E50" s="564">
        <v>62.6</v>
      </c>
      <c r="F50" s="290">
        <v>159.19999999999999</v>
      </c>
      <c r="G50" s="785">
        <v>1.2</v>
      </c>
      <c r="H50" s="785">
        <v>1.4</v>
      </c>
      <c r="I50" s="564"/>
      <c r="J50" s="564"/>
      <c r="K50" s="519">
        <f t="shared" si="1"/>
        <v>1.2</v>
      </c>
      <c r="L50" s="519">
        <f t="shared" si="2"/>
        <v>1.4</v>
      </c>
    </row>
    <row r="51" spans="1:12" ht="60">
      <c r="A51" s="296"/>
      <c r="B51" s="758" t="s">
        <v>1135</v>
      </c>
      <c r="C51" s="762" t="s">
        <v>1150</v>
      </c>
      <c r="D51" s="573">
        <v>1066.5999999999999</v>
      </c>
      <c r="E51" s="573">
        <v>1189.5999999999999</v>
      </c>
      <c r="F51" s="290">
        <v>19.899999999999999</v>
      </c>
      <c r="G51" s="785">
        <v>55</v>
      </c>
      <c r="H51" s="785">
        <v>63</v>
      </c>
      <c r="I51" s="564"/>
      <c r="J51" s="564"/>
      <c r="K51" s="519">
        <f t="shared" si="1"/>
        <v>55</v>
      </c>
      <c r="L51" s="519">
        <f t="shared" si="2"/>
        <v>63</v>
      </c>
    </row>
    <row r="52" spans="1:12" ht="48">
      <c r="A52" s="297"/>
      <c r="B52" s="411" t="s">
        <v>1136</v>
      </c>
      <c r="C52" s="762" t="s">
        <v>1137</v>
      </c>
      <c r="D52" s="569">
        <f>D53</f>
        <v>230</v>
      </c>
      <c r="E52" s="569">
        <f>E53</f>
        <v>210</v>
      </c>
      <c r="F52" s="265">
        <v>455.2</v>
      </c>
      <c r="G52" s="785">
        <v>58</v>
      </c>
      <c r="H52" s="785">
        <v>66</v>
      </c>
      <c r="I52" s="776"/>
      <c r="J52" s="298"/>
      <c r="K52" s="298"/>
      <c r="L52" s="298"/>
    </row>
    <row r="53" spans="1:12" ht="38.25">
      <c r="A53" s="298"/>
      <c r="B53" s="779" t="s">
        <v>1152</v>
      </c>
      <c r="C53" s="780" t="s">
        <v>1151</v>
      </c>
      <c r="D53" s="573">
        <v>230</v>
      </c>
      <c r="E53" s="573">
        <v>210</v>
      </c>
      <c r="F53" s="265">
        <f t="shared" ref="F53" si="8">F54</f>
        <v>1379.6</v>
      </c>
      <c r="G53" s="785">
        <v>4.5999999999999996</v>
      </c>
      <c r="H53" s="785">
        <v>5.4</v>
      </c>
      <c r="I53" s="776"/>
      <c r="J53" s="298"/>
      <c r="K53" s="298"/>
      <c r="L53" s="298"/>
    </row>
    <row r="54" spans="1:12" ht="48" hidden="1">
      <c r="A54" s="298"/>
      <c r="B54" s="766" t="s">
        <v>1140</v>
      </c>
      <c r="C54" s="763" t="s">
        <v>1141</v>
      </c>
      <c r="D54" s="269">
        <v>109.5</v>
      </c>
      <c r="E54" s="270">
        <v>979.6</v>
      </c>
      <c r="F54" s="270">
        <v>1379.6</v>
      </c>
      <c r="G54" s="785">
        <v>64</v>
      </c>
      <c r="H54" s="785">
        <v>73</v>
      </c>
      <c r="I54" s="770"/>
      <c r="J54" s="269"/>
      <c r="K54" s="519">
        <f t="shared" si="1"/>
        <v>64</v>
      </c>
      <c r="L54" s="519">
        <f t="shared" si="2"/>
        <v>73</v>
      </c>
    </row>
    <row r="55" spans="1:12" ht="48">
      <c r="B55" s="411" t="s">
        <v>1138</v>
      </c>
      <c r="C55" s="763" t="s">
        <v>1139</v>
      </c>
      <c r="D55" s="773"/>
      <c r="E55" s="774"/>
      <c r="F55" s="775"/>
      <c r="G55" s="785">
        <v>749.8</v>
      </c>
      <c r="H55" s="785">
        <v>855</v>
      </c>
      <c r="I55" s="776"/>
      <c r="J55" s="298"/>
      <c r="K55" s="298"/>
      <c r="L55" s="298"/>
    </row>
    <row r="56" spans="1:12" ht="48">
      <c r="B56" s="411" t="s">
        <v>1142</v>
      </c>
      <c r="C56" s="765" t="s">
        <v>1143</v>
      </c>
      <c r="D56" s="773"/>
      <c r="E56" s="774"/>
      <c r="F56" s="775"/>
      <c r="G56" s="785">
        <v>1072.5</v>
      </c>
      <c r="H56" s="785">
        <v>1224</v>
      </c>
      <c r="I56" s="776"/>
      <c r="J56" s="298"/>
      <c r="K56" s="298"/>
      <c r="L56" s="298"/>
    </row>
    <row r="57" spans="1:12">
      <c r="A57" s="258">
        <v>9</v>
      </c>
      <c r="B57" s="760" t="s">
        <v>338</v>
      </c>
      <c r="C57" s="771" t="s">
        <v>339</v>
      </c>
      <c r="G57" s="772">
        <f>G58</f>
        <v>572.70000000000005</v>
      </c>
      <c r="H57" s="772">
        <f>H58</f>
        <v>650.6</v>
      </c>
      <c r="I57" s="768">
        <f>I58</f>
        <v>0</v>
      </c>
      <c r="J57" s="569">
        <f>J58</f>
        <v>0</v>
      </c>
      <c r="K57" s="519">
        <f>G57-I57</f>
        <v>572.70000000000005</v>
      </c>
      <c r="L57" s="519">
        <f>H57-J57</f>
        <v>650.6</v>
      </c>
    </row>
    <row r="58" spans="1:12">
      <c r="B58" s="761" t="s">
        <v>340</v>
      </c>
      <c r="C58" s="450" t="s">
        <v>174</v>
      </c>
      <c r="G58" s="451">
        <v>572.70000000000005</v>
      </c>
      <c r="H58" s="451">
        <v>650.6</v>
      </c>
      <c r="I58" s="769"/>
      <c r="J58" s="451"/>
      <c r="K58" s="519">
        <f>G58-I58</f>
        <v>572.70000000000005</v>
      </c>
      <c r="L58" s="519">
        <f>H58-J58</f>
        <v>650.6</v>
      </c>
    </row>
  </sheetData>
  <mergeCells count="8">
    <mergeCell ref="A8:H8"/>
    <mergeCell ref="B11:C11"/>
    <mergeCell ref="C1:H1"/>
    <mergeCell ref="C2:H2"/>
    <mergeCell ref="C3:H3"/>
    <mergeCell ref="C4:H4"/>
    <mergeCell ref="C5:H5"/>
    <mergeCell ref="C6:H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colBreaks count="1" manualBreakCount="1">
    <brk id="8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R143"/>
  <sheetViews>
    <sheetView view="pageBreakPreview" topLeftCell="A72" zoomScale="80" zoomScaleSheetLayoutView="80" workbookViewId="0">
      <selection activeCell="A2" sqref="A2:D80"/>
    </sheetView>
  </sheetViews>
  <sheetFormatPr defaultRowHeight="15.75"/>
  <cols>
    <col min="1" max="1" width="7.42578125" style="155" customWidth="1"/>
    <col min="2" max="2" width="25.140625" style="155" customWidth="1"/>
    <col min="3" max="3" width="87.85546875" style="155" customWidth="1"/>
    <col min="4" max="4" width="20.85546875" style="301" customWidth="1"/>
    <col min="5" max="5" width="19.42578125" style="301" customWidth="1"/>
    <col min="6" max="6" width="17.7109375" style="155" customWidth="1"/>
    <col min="7" max="8" width="15.85546875" style="302" customWidth="1"/>
    <col min="9" max="9" width="15.5703125" style="302" customWidth="1"/>
    <col min="10" max="10" width="29.5703125" style="302" customWidth="1"/>
    <col min="11" max="11" width="17.140625" style="302" customWidth="1"/>
    <col min="12" max="12" width="20.7109375" style="302" customWidth="1"/>
    <col min="13" max="13" width="15.42578125" style="155" customWidth="1"/>
    <col min="14" max="14" width="14.5703125" style="155" customWidth="1"/>
    <col min="15" max="15" width="14.140625" style="155" customWidth="1"/>
    <col min="16" max="18" width="15.42578125" style="155" customWidth="1"/>
    <col min="19" max="28" width="9.140625" style="155"/>
    <col min="29" max="33" width="0" style="155" hidden="1" customWidth="1"/>
    <col min="34" max="16384" width="9.140625" style="155"/>
  </cols>
  <sheetData>
    <row r="1" spans="1:10">
      <c r="C1" s="871" t="s">
        <v>146</v>
      </c>
      <c r="D1" s="871"/>
      <c r="E1" s="155"/>
    </row>
    <row r="2" spans="1:10">
      <c r="C2" s="871" t="s">
        <v>204</v>
      </c>
      <c r="D2" s="871"/>
      <c r="E2" s="155"/>
    </row>
    <row r="3" spans="1:10">
      <c r="C3" s="871" t="s">
        <v>306</v>
      </c>
      <c r="D3" s="871"/>
      <c r="E3" s="155"/>
    </row>
    <row r="4" spans="1:10">
      <c r="C4" s="871" t="s">
        <v>153</v>
      </c>
      <c r="D4" s="871"/>
      <c r="E4" s="155"/>
    </row>
    <row r="5" spans="1:10">
      <c r="C5" s="871" t="s">
        <v>846</v>
      </c>
      <c r="D5" s="871"/>
      <c r="E5" s="155"/>
    </row>
    <row r="6" spans="1:10">
      <c r="C6" s="871" t="s">
        <v>1091</v>
      </c>
      <c r="D6" s="871"/>
      <c r="E6" s="442"/>
      <c r="F6" s="442"/>
    </row>
    <row r="8" spans="1:10" ht="35.25" customHeight="1">
      <c r="B8" s="872" t="s">
        <v>860</v>
      </c>
      <c r="C8" s="872"/>
      <c r="D8" s="872"/>
      <c r="E8" s="155"/>
      <c r="G8" s="515">
        <f>D12+пр.4!D11</f>
        <v>1110983.1000000001</v>
      </c>
      <c r="H8" s="515">
        <f>E12+пр.4!G11</f>
        <v>746254.2</v>
      </c>
      <c r="I8" s="515">
        <f>G8-H8</f>
        <v>364728.90000000014</v>
      </c>
    </row>
    <row r="10" spans="1:10" ht="34.5" customHeight="1">
      <c r="A10" s="873" t="s">
        <v>305</v>
      </c>
      <c r="B10" s="873" t="s">
        <v>109</v>
      </c>
      <c r="C10" s="874" t="s">
        <v>209</v>
      </c>
      <c r="D10" s="869" t="s">
        <v>472</v>
      </c>
      <c r="E10" s="869" t="s">
        <v>472</v>
      </c>
      <c r="F10" s="867" t="s">
        <v>476</v>
      </c>
    </row>
    <row r="11" spans="1:10" ht="24" customHeight="1">
      <c r="A11" s="873"/>
      <c r="B11" s="873"/>
      <c r="C11" s="875"/>
      <c r="D11" s="870"/>
      <c r="E11" s="870"/>
      <c r="F11" s="868"/>
      <c r="G11" s="302" t="s">
        <v>724</v>
      </c>
    </row>
    <row r="12" spans="1:10" ht="39.75" customHeight="1">
      <c r="A12" s="303">
        <v>0</v>
      </c>
      <c r="B12" s="304" t="s">
        <v>156</v>
      </c>
      <c r="C12" s="305" t="s">
        <v>62</v>
      </c>
      <c r="D12" s="329">
        <f>D13+D17+D53+D77+D87+D95</f>
        <v>833212.20000000019</v>
      </c>
      <c r="E12" s="329">
        <f>E13+E17+E53+E77+E87+E95</f>
        <v>746254.2</v>
      </c>
      <c r="F12" s="531">
        <f>D12-E12</f>
        <v>86958.000000000233</v>
      </c>
      <c r="H12" s="515"/>
    </row>
    <row r="13" spans="1:10" ht="33" customHeight="1">
      <c r="A13" s="303">
        <v>931</v>
      </c>
      <c r="B13" s="304" t="s">
        <v>498</v>
      </c>
      <c r="C13" s="305" t="s">
        <v>236</v>
      </c>
      <c r="D13" s="329">
        <f>D14+D16+D15</f>
        <v>35573.4</v>
      </c>
      <c r="E13" s="329">
        <f>E14+E16+E15</f>
        <v>35873.1</v>
      </c>
      <c r="F13" s="532">
        <f t="shared" ref="F13:F104" si="0">D13-E13</f>
        <v>-299.69999999999709</v>
      </c>
    </row>
    <row r="14" spans="1:10" ht="46.5" customHeight="1">
      <c r="A14" s="306">
        <v>931</v>
      </c>
      <c r="B14" s="307" t="s">
        <v>654</v>
      </c>
      <c r="C14" s="308" t="s">
        <v>784</v>
      </c>
      <c r="D14" s="330">
        <v>35573.4</v>
      </c>
      <c r="E14" s="330">
        <v>35873.1</v>
      </c>
      <c r="F14" s="532">
        <f t="shared" si="0"/>
        <v>-299.69999999999709</v>
      </c>
    </row>
    <row r="15" spans="1:10" ht="33.75" hidden="1" customHeight="1">
      <c r="A15" s="306">
        <v>931</v>
      </c>
      <c r="B15" s="307" t="s">
        <v>655</v>
      </c>
      <c r="C15" s="308" t="s">
        <v>575</v>
      </c>
      <c r="D15" s="330">
        <v>0</v>
      </c>
      <c r="E15" s="330">
        <v>0</v>
      </c>
      <c r="F15" s="532">
        <f t="shared" si="0"/>
        <v>0</v>
      </c>
      <c r="J15" s="515"/>
    </row>
    <row r="16" spans="1:10" ht="48" hidden="1" customHeight="1">
      <c r="A16" s="306">
        <v>931</v>
      </c>
      <c r="B16" s="307" t="s">
        <v>480</v>
      </c>
      <c r="C16" s="308" t="s">
        <v>580</v>
      </c>
      <c r="D16" s="330">
        <v>0</v>
      </c>
      <c r="E16" s="330">
        <v>0</v>
      </c>
      <c r="F16" s="532">
        <f t="shared" si="0"/>
        <v>0</v>
      </c>
      <c r="J16" s="302" t="s">
        <v>122</v>
      </c>
    </row>
    <row r="17" spans="1:12" ht="49.5" customHeight="1">
      <c r="A17" s="303">
        <v>0</v>
      </c>
      <c r="B17" s="304" t="s">
        <v>499</v>
      </c>
      <c r="C17" s="305" t="s">
        <v>237</v>
      </c>
      <c r="D17" s="329">
        <f>SUM(D18:D52)</f>
        <v>421869.3</v>
      </c>
      <c r="E17" s="329">
        <f>SUM(E18:E50)</f>
        <v>333770</v>
      </c>
      <c r="F17" s="531">
        <f>D17-E17</f>
        <v>88099.299999999988</v>
      </c>
    </row>
    <row r="18" spans="1:12" s="208" customFormat="1" ht="37.5" customHeight="1">
      <c r="A18" s="309">
        <v>934</v>
      </c>
      <c r="B18" s="418" t="s">
        <v>667</v>
      </c>
      <c r="C18" s="310" t="s">
        <v>787</v>
      </c>
      <c r="D18" s="601">
        <v>2016</v>
      </c>
      <c r="E18" s="601">
        <v>2358.4</v>
      </c>
      <c r="F18" s="487">
        <f t="shared" ref="F18:F20" si="1">D18-E18</f>
        <v>-342.40000000000009</v>
      </c>
      <c r="G18" s="599" t="s">
        <v>1197</v>
      </c>
      <c r="H18" s="599"/>
      <c r="I18" s="599"/>
      <c r="J18" s="599"/>
      <c r="K18" s="599"/>
      <c r="L18" s="599"/>
    </row>
    <row r="19" spans="1:12" s="208" customFormat="1" ht="47.25">
      <c r="A19" s="309">
        <v>934</v>
      </c>
      <c r="B19" s="418" t="s">
        <v>666</v>
      </c>
      <c r="C19" s="308" t="s">
        <v>681</v>
      </c>
      <c r="D19" s="601">
        <v>10919.8</v>
      </c>
      <c r="E19" s="601">
        <v>10608.8</v>
      </c>
      <c r="F19" s="487">
        <f t="shared" si="1"/>
        <v>311</v>
      </c>
      <c r="G19" s="599" t="s">
        <v>1198</v>
      </c>
      <c r="H19" s="599"/>
      <c r="I19" s="599"/>
      <c r="J19" s="599"/>
      <c r="K19" s="599"/>
      <c r="L19" s="599"/>
    </row>
    <row r="20" spans="1:12" ht="30.75" hidden="1" customHeight="1">
      <c r="A20" s="309">
        <v>934</v>
      </c>
      <c r="B20" s="418" t="s">
        <v>830</v>
      </c>
      <c r="C20" s="308" t="s">
        <v>831</v>
      </c>
      <c r="D20" s="601"/>
      <c r="E20" s="601"/>
      <c r="F20" s="487">
        <f t="shared" si="1"/>
        <v>0</v>
      </c>
    </row>
    <row r="21" spans="1:12" ht="50.25" hidden="1" customHeight="1">
      <c r="A21" s="309">
        <v>937</v>
      </c>
      <c r="B21" s="418" t="s">
        <v>657</v>
      </c>
      <c r="C21" s="308" t="s">
        <v>709</v>
      </c>
      <c r="D21" s="634"/>
      <c r="E21" s="634"/>
      <c r="F21" s="532">
        <f t="shared" si="0"/>
        <v>0</v>
      </c>
    </row>
    <row r="22" spans="1:12" s="311" customFormat="1" ht="37.5" customHeight="1">
      <c r="A22" s="309" t="s">
        <v>837</v>
      </c>
      <c r="B22" s="657" t="s">
        <v>839</v>
      </c>
      <c r="C22" s="308" t="s">
        <v>792</v>
      </c>
      <c r="D22" s="634">
        <v>9035.5</v>
      </c>
      <c r="E22" s="634">
        <v>9035.5</v>
      </c>
      <c r="F22" s="532">
        <f t="shared" si="0"/>
        <v>0</v>
      </c>
      <c r="G22" s="312"/>
      <c r="H22" s="312"/>
    </row>
    <row r="23" spans="1:12" s="313" customFormat="1" ht="79.5" customHeight="1">
      <c r="A23" s="306">
        <v>934</v>
      </c>
      <c r="B23" s="315" t="s">
        <v>657</v>
      </c>
      <c r="C23" s="308" t="s">
        <v>849</v>
      </c>
      <c r="D23" s="634">
        <v>14808.8</v>
      </c>
      <c r="E23" s="634">
        <v>7404.4</v>
      </c>
      <c r="F23" s="532">
        <f t="shared" si="0"/>
        <v>7404.4</v>
      </c>
      <c r="G23" s="314"/>
      <c r="H23" s="314"/>
    </row>
    <row r="24" spans="1:12" s="313" customFormat="1" ht="78.75" customHeight="1">
      <c r="A24" s="306">
        <v>934</v>
      </c>
      <c r="B24" s="315" t="s">
        <v>657</v>
      </c>
      <c r="C24" s="308" t="s">
        <v>747</v>
      </c>
      <c r="D24" s="634">
        <v>5927.7</v>
      </c>
      <c r="E24" s="634">
        <v>6425.6</v>
      </c>
      <c r="F24" s="532">
        <f t="shared" si="0"/>
        <v>-497.90000000000055</v>
      </c>
      <c r="G24" s="314"/>
      <c r="H24" s="314"/>
    </row>
    <row r="25" spans="1:12" s="313" customFormat="1" ht="63.75" hidden="1" customHeight="1">
      <c r="A25" s="306">
        <v>934</v>
      </c>
      <c r="B25" s="315" t="s">
        <v>827</v>
      </c>
      <c r="C25" s="308" t="s">
        <v>823</v>
      </c>
      <c r="D25" s="634"/>
      <c r="E25" s="634"/>
      <c r="F25" s="532">
        <f t="shared" si="0"/>
        <v>0</v>
      </c>
      <c r="G25" s="314"/>
      <c r="H25" s="314"/>
    </row>
    <row r="26" spans="1:12" s="313" customFormat="1" ht="49.5" customHeight="1">
      <c r="A26" s="306">
        <v>934</v>
      </c>
      <c r="B26" s="315" t="s">
        <v>657</v>
      </c>
      <c r="C26" s="308" t="s">
        <v>1205</v>
      </c>
      <c r="D26" s="634">
        <v>400</v>
      </c>
      <c r="E26" s="634"/>
      <c r="F26" s="532">
        <f t="shared" si="0"/>
        <v>400</v>
      </c>
      <c r="G26" s="314"/>
      <c r="H26" s="314"/>
    </row>
    <row r="27" spans="1:12" s="313" customFormat="1" ht="53.25" customHeight="1">
      <c r="A27" s="306">
        <v>934</v>
      </c>
      <c r="B27" s="315" t="s">
        <v>657</v>
      </c>
      <c r="C27" s="308" t="s">
        <v>786</v>
      </c>
      <c r="D27" s="634">
        <v>157</v>
      </c>
      <c r="E27" s="634">
        <v>64.099999999999994</v>
      </c>
      <c r="F27" s="532">
        <f t="shared" si="0"/>
        <v>92.9</v>
      </c>
      <c r="G27" s="314"/>
      <c r="H27" s="314"/>
    </row>
    <row r="28" spans="1:12" s="313" customFormat="1" ht="47.25">
      <c r="A28" s="306">
        <v>931</v>
      </c>
      <c r="B28" s="315" t="s">
        <v>657</v>
      </c>
      <c r="C28" s="665" t="s">
        <v>1201</v>
      </c>
      <c r="D28" s="634">
        <v>46152</v>
      </c>
      <c r="E28" s="634">
        <v>42076.6</v>
      </c>
      <c r="F28" s="532">
        <f t="shared" si="0"/>
        <v>4075.4000000000015</v>
      </c>
      <c r="G28" s="314"/>
      <c r="H28" s="314"/>
    </row>
    <row r="29" spans="1:12" s="313" customFormat="1" ht="31.5">
      <c r="A29" s="306">
        <v>934</v>
      </c>
      <c r="B29" s="315" t="s">
        <v>657</v>
      </c>
      <c r="C29" s="308" t="s">
        <v>623</v>
      </c>
      <c r="D29" s="634">
        <v>631.1</v>
      </c>
      <c r="E29" s="634">
        <v>631.1</v>
      </c>
      <c r="F29" s="532">
        <f t="shared" si="0"/>
        <v>0</v>
      </c>
      <c r="G29" s="314"/>
      <c r="H29" s="314"/>
    </row>
    <row r="30" spans="1:12" s="313" customFormat="1" ht="42.75" customHeight="1">
      <c r="A30" s="306">
        <v>934</v>
      </c>
      <c r="B30" s="315" t="s">
        <v>657</v>
      </c>
      <c r="C30" s="308" t="s">
        <v>746</v>
      </c>
      <c r="D30" s="634">
        <v>20080.900000000001</v>
      </c>
      <c r="E30" s="634">
        <v>19102.2</v>
      </c>
      <c r="F30" s="532">
        <f t="shared" si="0"/>
        <v>978.70000000000073</v>
      </c>
      <c r="G30" s="314"/>
      <c r="H30" s="314"/>
    </row>
    <row r="31" spans="1:12" s="313" customFormat="1" ht="54.75" customHeight="1">
      <c r="A31" s="306">
        <v>934</v>
      </c>
      <c r="B31" s="315" t="s">
        <v>657</v>
      </c>
      <c r="C31" s="308" t="s">
        <v>745</v>
      </c>
      <c r="D31" s="634">
        <v>0</v>
      </c>
      <c r="E31" s="634">
        <v>0</v>
      </c>
      <c r="F31" s="532">
        <f t="shared" si="0"/>
        <v>0</v>
      </c>
      <c r="G31" s="314"/>
      <c r="H31" s="314"/>
    </row>
    <row r="32" spans="1:12" s="313" customFormat="1" ht="48" customHeight="1">
      <c r="A32" s="306">
        <v>934</v>
      </c>
      <c r="B32" s="315" t="s">
        <v>657</v>
      </c>
      <c r="C32" s="308" t="s">
        <v>850</v>
      </c>
      <c r="D32" s="634">
        <v>531.4</v>
      </c>
      <c r="E32" s="634">
        <v>531.4</v>
      </c>
      <c r="F32" s="532">
        <f t="shared" si="0"/>
        <v>0</v>
      </c>
      <c r="G32" s="314"/>
      <c r="H32" s="314"/>
    </row>
    <row r="33" spans="1:8" s="313" customFormat="1" ht="51" customHeight="1">
      <c r="A33" s="306">
        <v>934</v>
      </c>
      <c r="B33" s="315" t="s">
        <v>657</v>
      </c>
      <c r="C33" s="318" t="s">
        <v>851</v>
      </c>
      <c r="D33" s="634">
        <v>170</v>
      </c>
      <c r="E33" s="634">
        <v>170</v>
      </c>
      <c r="F33" s="532">
        <f t="shared" si="0"/>
        <v>0</v>
      </c>
      <c r="G33" s="314"/>
      <c r="H33" s="314"/>
    </row>
    <row r="34" spans="1:8" s="313" customFormat="1" ht="61.5" customHeight="1">
      <c r="A34" s="306">
        <v>937</v>
      </c>
      <c r="B34" s="315" t="s">
        <v>657</v>
      </c>
      <c r="C34" s="318" t="s">
        <v>748</v>
      </c>
      <c r="D34" s="634">
        <v>500</v>
      </c>
      <c r="E34" s="634">
        <v>500</v>
      </c>
      <c r="F34" s="532">
        <f t="shared" si="0"/>
        <v>0</v>
      </c>
      <c r="G34" s="314"/>
      <c r="H34" s="314"/>
    </row>
    <row r="35" spans="1:8" s="313" customFormat="1" ht="61.5" customHeight="1">
      <c r="A35" s="306">
        <v>936</v>
      </c>
      <c r="B35" s="315" t="s">
        <v>657</v>
      </c>
      <c r="C35" s="308" t="s">
        <v>625</v>
      </c>
      <c r="D35" s="634">
        <v>9642.7999999999993</v>
      </c>
      <c r="E35" s="634">
        <v>9737.2000000000007</v>
      </c>
      <c r="F35" s="532">
        <f t="shared" si="0"/>
        <v>-94.400000000001455</v>
      </c>
      <c r="G35" s="314"/>
      <c r="H35" s="314"/>
    </row>
    <row r="36" spans="1:8" s="313" customFormat="1" ht="55.5" customHeight="1">
      <c r="A36" s="306">
        <v>936</v>
      </c>
      <c r="B36" s="315" t="s">
        <v>657</v>
      </c>
      <c r="C36" s="308" t="s">
        <v>790</v>
      </c>
      <c r="D36" s="634"/>
      <c r="E36" s="634">
        <v>618.6</v>
      </c>
      <c r="F36" s="532">
        <f t="shared" si="0"/>
        <v>-618.6</v>
      </c>
      <c r="G36" s="314"/>
      <c r="H36" s="314"/>
    </row>
    <row r="37" spans="1:8" s="313" customFormat="1" ht="47.25">
      <c r="A37" s="306">
        <v>936</v>
      </c>
      <c r="B37" s="315" t="s">
        <v>481</v>
      </c>
      <c r="C37" s="318" t="s">
        <v>854</v>
      </c>
      <c r="D37" s="634">
        <v>481.5</v>
      </c>
      <c r="E37" s="634">
        <v>481.5</v>
      </c>
      <c r="F37" s="532">
        <f t="shared" si="0"/>
        <v>0</v>
      </c>
      <c r="G37" s="314"/>
      <c r="H37" s="314"/>
    </row>
    <row r="38" spans="1:8" s="313" customFormat="1" ht="48" customHeight="1">
      <c r="A38" s="306">
        <v>936</v>
      </c>
      <c r="B38" s="315" t="s">
        <v>657</v>
      </c>
      <c r="C38" s="308" t="s">
        <v>1199</v>
      </c>
      <c r="D38" s="634">
        <v>887.4</v>
      </c>
      <c r="E38" s="634">
        <v>2403.1</v>
      </c>
      <c r="F38" s="532">
        <f t="shared" si="0"/>
        <v>-1515.6999999999998</v>
      </c>
      <c r="G38" s="314"/>
      <c r="H38" s="314"/>
    </row>
    <row r="39" spans="1:8" s="313" customFormat="1" ht="48" customHeight="1">
      <c r="A39" s="306">
        <v>936</v>
      </c>
      <c r="B39" s="315" t="s">
        <v>657</v>
      </c>
      <c r="C39" s="308" t="s">
        <v>1200</v>
      </c>
      <c r="D39" s="634">
        <v>11247.8</v>
      </c>
      <c r="E39" s="634">
        <v>5940.6</v>
      </c>
      <c r="F39" s="532">
        <f t="shared" si="0"/>
        <v>5307.1999999999989</v>
      </c>
      <c r="G39" s="314"/>
      <c r="H39" s="314"/>
    </row>
    <row r="40" spans="1:8" s="313" customFormat="1" ht="48" customHeight="1">
      <c r="A40" s="306">
        <v>936</v>
      </c>
      <c r="B40" s="315" t="s">
        <v>657</v>
      </c>
      <c r="C40" s="308" t="s">
        <v>1222</v>
      </c>
      <c r="D40" s="634">
        <v>27915.200000000001</v>
      </c>
      <c r="E40" s="634"/>
      <c r="F40" s="532">
        <f t="shared" si="0"/>
        <v>27915.200000000001</v>
      </c>
      <c r="G40" s="314"/>
      <c r="H40" s="314"/>
    </row>
    <row r="41" spans="1:8" s="313" customFormat="1" ht="64.5" customHeight="1">
      <c r="A41" s="306">
        <v>936</v>
      </c>
      <c r="B41" s="315" t="s">
        <v>657</v>
      </c>
      <c r="C41" s="320" t="s">
        <v>857</v>
      </c>
      <c r="D41" s="634">
        <v>86243.3</v>
      </c>
      <c r="E41" s="634">
        <v>86078.6</v>
      </c>
      <c r="F41" s="532">
        <f t="shared" si="0"/>
        <v>164.69999999999709</v>
      </c>
      <c r="G41" s="314"/>
      <c r="H41" s="314"/>
    </row>
    <row r="42" spans="1:8" s="313" customFormat="1" ht="39" hidden="1" customHeight="1">
      <c r="A42" s="306">
        <v>936</v>
      </c>
      <c r="B42" s="315" t="s">
        <v>657</v>
      </c>
      <c r="C42" s="320" t="s">
        <v>832</v>
      </c>
      <c r="D42" s="634"/>
      <c r="E42" s="634"/>
      <c r="F42" s="532">
        <f t="shared" si="0"/>
        <v>0</v>
      </c>
      <c r="G42" s="314"/>
      <c r="H42" s="314"/>
    </row>
    <row r="43" spans="1:8" s="313" customFormat="1" ht="47.25" hidden="1" customHeight="1">
      <c r="A43" s="306">
        <v>936</v>
      </c>
      <c r="B43" s="315" t="s">
        <v>676</v>
      </c>
      <c r="C43" s="320" t="s">
        <v>829</v>
      </c>
      <c r="D43" s="634"/>
      <c r="E43" s="634"/>
      <c r="F43" s="532">
        <f t="shared" si="0"/>
        <v>0</v>
      </c>
      <c r="G43" s="314">
        <v>1598</v>
      </c>
      <c r="H43" s="314"/>
    </row>
    <row r="44" spans="1:8" s="311" customFormat="1" ht="31.5">
      <c r="A44" s="306">
        <v>936</v>
      </c>
      <c r="B44" s="315" t="s">
        <v>657</v>
      </c>
      <c r="C44" s="308" t="s">
        <v>856</v>
      </c>
      <c r="D44" s="601">
        <v>93040.3</v>
      </c>
      <c r="E44" s="601">
        <v>93040.3</v>
      </c>
      <c r="F44" s="532">
        <f t="shared" si="0"/>
        <v>0</v>
      </c>
      <c r="G44" s="312"/>
      <c r="H44" s="312"/>
    </row>
    <row r="45" spans="1:8" s="313" customFormat="1" ht="47.25" hidden="1" customHeight="1">
      <c r="A45" s="306">
        <v>937</v>
      </c>
      <c r="B45" s="315" t="s">
        <v>657</v>
      </c>
      <c r="C45" s="308" t="s">
        <v>788</v>
      </c>
      <c r="D45" s="601"/>
      <c r="E45" s="601"/>
      <c r="F45" s="532">
        <f t="shared" si="0"/>
        <v>0</v>
      </c>
      <c r="G45" s="314"/>
      <c r="H45" s="314"/>
    </row>
    <row r="46" spans="1:8" s="313" customFormat="1" ht="31.5">
      <c r="A46" s="306">
        <v>936</v>
      </c>
      <c r="B46" s="315" t="s">
        <v>657</v>
      </c>
      <c r="C46" s="308" t="s">
        <v>1204</v>
      </c>
      <c r="D46" s="601">
        <v>17500</v>
      </c>
      <c r="E46" s="601">
        <v>17500</v>
      </c>
      <c r="F46" s="532">
        <f t="shared" si="0"/>
        <v>0</v>
      </c>
      <c r="G46" s="314"/>
      <c r="H46" s="314"/>
    </row>
    <row r="47" spans="1:8" s="313" customFormat="1" ht="31.5">
      <c r="A47" s="306">
        <v>934</v>
      </c>
      <c r="B47" s="315" t="s">
        <v>657</v>
      </c>
      <c r="C47" s="308" t="s">
        <v>789</v>
      </c>
      <c r="D47" s="601">
        <v>7745.2</v>
      </c>
      <c r="E47" s="601">
        <v>7519.6</v>
      </c>
      <c r="F47" s="532">
        <f t="shared" si="0"/>
        <v>225.59999999999945</v>
      </c>
      <c r="G47" s="314"/>
      <c r="H47" s="314"/>
    </row>
    <row r="48" spans="1:8" s="313" customFormat="1" ht="46.5" customHeight="1">
      <c r="A48" s="306">
        <v>934</v>
      </c>
      <c r="B48" s="315" t="s">
        <v>657</v>
      </c>
      <c r="C48" s="308" t="s">
        <v>833</v>
      </c>
      <c r="D48" s="601">
        <v>9989</v>
      </c>
      <c r="E48" s="601">
        <v>9989</v>
      </c>
      <c r="F48" s="532">
        <f t="shared" si="0"/>
        <v>0</v>
      </c>
      <c r="G48" s="314"/>
      <c r="H48" s="314"/>
    </row>
    <row r="49" spans="1:12" s="313" customFormat="1" ht="51.75" hidden="1" customHeight="1">
      <c r="A49" s="306">
        <v>934</v>
      </c>
      <c r="B49" s="315" t="s">
        <v>844</v>
      </c>
      <c r="C49" s="308" t="s">
        <v>840</v>
      </c>
      <c r="D49" s="601"/>
      <c r="E49" s="601"/>
      <c r="F49" s="532">
        <f t="shared" si="0"/>
        <v>0</v>
      </c>
      <c r="G49" s="314"/>
      <c r="H49" s="314"/>
    </row>
    <row r="50" spans="1:12" s="313" customFormat="1" ht="68.25" customHeight="1">
      <c r="A50" s="306">
        <v>934</v>
      </c>
      <c r="B50" s="315" t="s">
        <v>657</v>
      </c>
      <c r="C50" s="308" t="s">
        <v>886</v>
      </c>
      <c r="D50" s="601"/>
      <c r="E50" s="601">
        <v>1553.4</v>
      </c>
      <c r="F50" s="532">
        <f t="shared" si="0"/>
        <v>-1553.4</v>
      </c>
      <c r="G50" s="314"/>
      <c r="H50" s="314"/>
    </row>
    <row r="51" spans="1:12" s="313" customFormat="1" ht="68.25" customHeight="1">
      <c r="A51" s="306">
        <v>934</v>
      </c>
      <c r="B51" s="315" t="s">
        <v>657</v>
      </c>
      <c r="C51" s="308" t="s">
        <v>1202</v>
      </c>
      <c r="D51" s="601">
        <v>44932.6</v>
      </c>
      <c r="E51" s="601"/>
      <c r="F51" s="532">
        <f t="shared" si="0"/>
        <v>44932.6</v>
      </c>
      <c r="G51" s="314" t="s">
        <v>1203</v>
      </c>
      <c r="H51" s="314"/>
    </row>
    <row r="52" spans="1:12" s="313" customFormat="1" ht="84" customHeight="1">
      <c r="A52" s="306">
        <v>936</v>
      </c>
      <c r="B52" s="315" t="s">
        <v>657</v>
      </c>
      <c r="C52" s="308" t="s">
        <v>1206</v>
      </c>
      <c r="D52" s="601">
        <v>914</v>
      </c>
      <c r="E52" s="601"/>
      <c r="F52" s="532">
        <f t="shared" si="0"/>
        <v>914</v>
      </c>
      <c r="G52" s="314"/>
      <c r="H52" s="314"/>
    </row>
    <row r="53" spans="1:12" s="313" customFormat="1" ht="31.5">
      <c r="A53" s="303">
        <v>0</v>
      </c>
      <c r="B53" s="304" t="s">
        <v>500</v>
      </c>
      <c r="C53" s="319" t="s">
        <v>238</v>
      </c>
      <c r="D53" s="332">
        <f>SUM(D54:D76)</f>
        <v>335949.70000000007</v>
      </c>
      <c r="E53" s="332">
        <f>SUM(E54:E76)</f>
        <v>337380.4</v>
      </c>
      <c r="F53" s="531">
        <f t="shared" si="0"/>
        <v>-1430.6999999999534</v>
      </c>
      <c r="G53" s="314"/>
      <c r="H53" s="314"/>
      <c r="I53" s="314"/>
      <c r="J53" s="314"/>
      <c r="K53" s="314"/>
      <c r="L53" s="314"/>
    </row>
    <row r="54" spans="1:12" s="313" customFormat="1" ht="47.25">
      <c r="A54" s="309">
        <v>934</v>
      </c>
      <c r="B54" s="410" t="s">
        <v>670</v>
      </c>
      <c r="C54" s="419" t="s">
        <v>626</v>
      </c>
      <c r="D54" s="601">
        <v>18.5</v>
      </c>
      <c r="E54" s="601">
        <v>19.7</v>
      </c>
      <c r="F54" s="532">
        <f t="shared" si="0"/>
        <v>-1.1999999999999993</v>
      </c>
      <c r="G54" s="314">
        <v>19.7</v>
      </c>
      <c r="H54" s="314"/>
      <c r="I54" s="314"/>
      <c r="J54" s="314"/>
      <c r="K54" s="314"/>
      <c r="L54" s="314"/>
    </row>
    <row r="55" spans="1:12" s="313" customFormat="1" ht="69.75" customHeight="1">
      <c r="A55" s="306">
        <v>936</v>
      </c>
      <c r="B55" s="307" t="s">
        <v>678</v>
      </c>
      <c r="C55" s="308" t="s">
        <v>627</v>
      </c>
      <c r="D55" s="634">
        <v>5582.4</v>
      </c>
      <c r="E55" s="634">
        <v>5582.4</v>
      </c>
      <c r="F55" s="532">
        <f t="shared" si="0"/>
        <v>0</v>
      </c>
      <c r="G55" s="314"/>
      <c r="H55" s="314"/>
      <c r="I55" s="314"/>
      <c r="J55" s="314"/>
      <c r="K55" s="314"/>
      <c r="L55" s="314"/>
    </row>
    <row r="56" spans="1:12" s="313" customFormat="1" ht="39.75" customHeight="1">
      <c r="A56" s="306">
        <v>934</v>
      </c>
      <c r="B56" s="307" t="s">
        <v>658</v>
      </c>
      <c r="C56" s="665" t="s">
        <v>759</v>
      </c>
      <c r="D56" s="634">
        <v>25</v>
      </c>
      <c r="E56" s="634">
        <v>320.60000000000002</v>
      </c>
      <c r="F56" s="532">
        <f t="shared" si="0"/>
        <v>-295.60000000000002</v>
      </c>
      <c r="G56" s="314"/>
      <c r="H56" s="314"/>
      <c r="I56" s="314"/>
      <c r="J56" s="314"/>
      <c r="K56" s="314"/>
      <c r="L56" s="314"/>
    </row>
    <row r="57" spans="1:12" s="313" customFormat="1" ht="31.5">
      <c r="A57" s="306">
        <v>934</v>
      </c>
      <c r="B57" s="307" t="s">
        <v>658</v>
      </c>
      <c r="C57" s="665" t="s">
        <v>628</v>
      </c>
      <c r="D57" s="634">
        <v>1.3</v>
      </c>
      <c r="E57" s="634">
        <v>1.3</v>
      </c>
      <c r="F57" s="532">
        <f t="shared" si="0"/>
        <v>0</v>
      </c>
      <c r="G57" s="314"/>
      <c r="H57" s="314"/>
      <c r="I57" s="314"/>
      <c r="J57" s="314"/>
      <c r="K57" s="314"/>
      <c r="L57" s="314"/>
    </row>
    <row r="58" spans="1:12" s="313" customFormat="1" ht="47.25" customHeight="1">
      <c r="A58" s="306">
        <v>931</v>
      </c>
      <c r="B58" s="307" t="s">
        <v>658</v>
      </c>
      <c r="C58" s="320" t="s">
        <v>629</v>
      </c>
      <c r="D58" s="634">
        <v>88.5</v>
      </c>
      <c r="E58" s="634">
        <v>88.5</v>
      </c>
      <c r="F58" s="532">
        <f t="shared" si="0"/>
        <v>0</v>
      </c>
      <c r="G58" s="314"/>
      <c r="H58" s="314"/>
      <c r="I58" s="314"/>
      <c r="J58" s="314"/>
      <c r="K58" s="314"/>
      <c r="L58" s="314"/>
    </row>
    <row r="59" spans="1:12" s="313" customFormat="1" ht="173.25">
      <c r="A59" s="306">
        <v>934</v>
      </c>
      <c r="B59" s="307" t="s">
        <v>658</v>
      </c>
      <c r="C59" s="308" t="s">
        <v>808</v>
      </c>
      <c r="D59" s="634">
        <v>587</v>
      </c>
      <c r="E59" s="634">
        <v>587</v>
      </c>
      <c r="F59" s="532">
        <f t="shared" si="0"/>
        <v>0</v>
      </c>
      <c r="G59" s="314"/>
      <c r="H59" s="314"/>
      <c r="I59" s="314"/>
      <c r="J59" s="314"/>
      <c r="K59" s="314"/>
      <c r="L59" s="314"/>
    </row>
    <row r="60" spans="1:12" s="313" customFormat="1" ht="173.25">
      <c r="A60" s="306">
        <v>934</v>
      </c>
      <c r="B60" s="307" t="s">
        <v>658</v>
      </c>
      <c r="C60" s="308" t="s">
        <v>808</v>
      </c>
      <c r="D60" s="634">
        <v>183.3</v>
      </c>
      <c r="E60" s="634"/>
      <c r="F60" s="532">
        <f t="shared" si="0"/>
        <v>183.3</v>
      </c>
      <c r="G60" s="314"/>
      <c r="H60" s="314"/>
      <c r="I60" s="314"/>
      <c r="J60" s="314"/>
      <c r="K60" s="314"/>
      <c r="L60" s="314"/>
    </row>
    <row r="61" spans="1:12" s="313" customFormat="1" ht="49.5" customHeight="1">
      <c r="A61" s="306">
        <v>934</v>
      </c>
      <c r="B61" s="307" t="s">
        <v>658</v>
      </c>
      <c r="C61" s="308" t="s">
        <v>1208</v>
      </c>
      <c r="D61" s="634">
        <v>3</v>
      </c>
      <c r="E61" s="634">
        <v>2.9</v>
      </c>
      <c r="F61" s="532">
        <f t="shared" si="0"/>
        <v>0.10000000000000009</v>
      </c>
      <c r="G61" s="314"/>
      <c r="H61" s="314"/>
      <c r="I61" s="314"/>
      <c r="J61" s="314"/>
      <c r="K61" s="314"/>
      <c r="L61" s="314"/>
    </row>
    <row r="62" spans="1:12" s="313" customFormat="1" ht="49.5" customHeight="1">
      <c r="A62" s="306">
        <v>934</v>
      </c>
      <c r="B62" s="307" t="s">
        <v>658</v>
      </c>
      <c r="C62" s="308" t="s">
        <v>631</v>
      </c>
      <c r="D62" s="634">
        <v>1674.6</v>
      </c>
      <c r="E62" s="634">
        <v>1674.6</v>
      </c>
      <c r="F62" s="532">
        <f t="shared" si="0"/>
        <v>0</v>
      </c>
      <c r="G62" s="314"/>
      <c r="H62" s="314"/>
      <c r="I62" s="314"/>
      <c r="J62" s="314"/>
      <c r="K62" s="314"/>
      <c r="L62" s="314"/>
    </row>
    <row r="63" spans="1:12" s="313" customFormat="1" ht="36.75" customHeight="1">
      <c r="A63" s="306">
        <v>934</v>
      </c>
      <c r="B63" s="307" t="s">
        <v>658</v>
      </c>
      <c r="C63" s="308" t="s">
        <v>632</v>
      </c>
      <c r="D63" s="634">
        <v>25.1</v>
      </c>
      <c r="E63" s="634">
        <v>25.1</v>
      </c>
      <c r="F63" s="532">
        <f t="shared" si="0"/>
        <v>0</v>
      </c>
      <c r="G63" s="314"/>
      <c r="H63" s="314"/>
      <c r="I63" s="314"/>
      <c r="J63" s="314"/>
      <c r="K63" s="314"/>
      <c r="L63" s="314"/>
    </row>
    <row r="64" spans="1:12" s="313" customFormat="1" ht="31.5">
      <c r="A64" s="306">
        <v>934</v>
      </c>
      <c r="B64" s="307" t="s">
        <v>658</v>
      </c>
      <c r="C64" s="308" t="s">
        <v>633</v>
      </c>
      <c r="D64" s="634">
        <v>280</v>
      </c>
      <c r="E64" s="634">
        <v>273.2</v>
      </c>
      <c r="F64" s="532">
        <f t="shared" si="0"/>
        <v>6.8000000000000114</v>
      </c>
      <c r="G64" s="314"/>
      <c r="H64" s="314"/>
      <c r="I64" s="314"/>
      <c r="J64" s="314"/>
      <c r="K64" s="314"/>
      <c r="L64" s="314"/>
    </row>
    <row r="65" spans="1:12" s="313" customFormat="1" ht="33.75" customHeight="1">
      <c r="A65" s="306">
        <v>934</v>
      </c>
      <c r="B65" s="307" t="s">
        <v>658</v>
      </c>
      <c r="C65" s="308" t="s">
        <v>634</v>
      </c>
      <c r="D65" s="634">
        <v>1378.7</v>
      </c>
      <c r="E65" s="634">
        <v>1343.7</v>
      </c>
      <c r="F65" s="532">
        <f t="shared" si="0"/>
        <v>35</v>
      </c>
      <c r="G65" s="314"/>
      <c r="H65" s="314"/>
      <c r="I65" s="314"/>
      <c r="J65" s="314"/>
      <c r="K65" s="314"/>
      <c r="L65" s="314"/>
    </row>
    <row r="66" spans="1:12" s="313" customFormat="1" ht="51.75" customHeight="1">
      <c r="A66" s="306">
        <v>934</v>
      </c>
      <c r="B66" s="307" t="s">
        <v>658</v>
      </c>
      <c r="C66" s="308" t="s">
        <v>635</v>
      </c>
      <c r="D66" s="634">
        <v>179.9</v>
      </c>
      <c r="E66" s="634">
        <v>175.7</v>
      </c>
      <c r="F66" s="532">
        <f t="shared" si="0"/>
        <v>4.2000000000000171</v>
      </c>
      <c r="G66" s="314"/>
      <c r="H66" s="314"/>
      <c r="I66" s="314"/>
      <c r="J66" s="314"/>
      <c r="K66" s="314"/>
      <c r="L66" s="314"/>
    </row>
    <row r="67" spans="1:12" s="313" customFormat="1" ht="47.25">
      <c r="A67" s="306">
        <v>934</v>
      </c>
      <c r="B67" s="307" t="s">
        <v>658</v>
      </c>
      <c r="C67" s="308" t="s">
        <v>636</v>
      </c>
      <c r="D67" s="634">
        <v>894</v>
      </c>
      <c r="E67" s="634">
        <v>870.6</v>
      </c>
      <c r="F67" s="532">
        <f t="shared" si="0"/>
        <v>23.399999999999977</v>
      </c>
      <c r="G67" s="314"/>
      <c r="H67" s="314"/>
      <c r="I67" s="314"/>
      <c r="J67" s="314"/>
      <c r="K67" s="314"/>
      <c r="L67" s="314"/>
    </row>
    <row r="68" spans="1:12" s="313" customFormat="1" ht="47.25">
      <c r="A68" s="306">
        <v>934</v>
      </c>
      <c r="B68" s="307" t="s">
        <v>658</v>
      </c>
      <c r="C68" s="308" t="s">
        <v>637</v>
      </c>
      <c r="D68" s="634">
        <v>1378.7</v>
      </c>
      <c r="E68" s="634">
        <v>1343.7</v>
      </c>
      <c r="F68" s="532">
        <f t="shared" si="0"/>
        <v>35</v>
      </c>
      <c r="G68" s="314"/>
      <c r="H68" s="314"/>
    </row>
    <row r="69" spans="1:12" s="313" customFormat="1" ht="78.75">
      <c r="A69" s="306">
        <v>936</v>
      </c>
      <c r="B69" s="307" t="s">
        <v>658</v>
      </c>
      <c r="C69" s="308" t="s">
        <v>1207</v>
      </c>
      <c r="D69" s="634">
        <v>83.7</v>
      </c>
      <c r="E69" s="634">
        <v>84.1</v>
      </c>
      <c r="F69" s="532">
        <f t="shared" si="0"/>
        <v>-0.39999999999999147</v>
      </c>
      <c r="G69" s="314"/>
      <c r="H69" s="314"/>
    </row>
    <row r="70" spans="1:12" s="313" customFormat="1" ht="49.5" customHeight="1">
      <c r="A70" s="306">
        <v>936</v>
      </c>
      <c r="B70" s="307" t="s">
        <v>658</v>
      </c>
      <c r="C70" s="308" t="s">
        <v>751</v>
      </c>
      <c r="D70" s="634">
        <v>47.3</v>
      </c>
      <c r="E70" s="634">
        <v>50.2</v>
      </c>
      <c r="F70" s="532">
        <f t="shared" si="0"/>
        <v>-2.9000000000000057</v>
      </c>
      <c r="G70" s="314"/>
      <c r="H70" s="314"/>
    </row>
    <row r="71" spans="1:12" s="313" customFormat="1" ht="73.5" customHeight="1">
      <c r="A71" s="306">
        <v>936</v>
      </c>
      <c r="B71" s="307" t="s">
        <v>658</v>
      </c>
      <c r="C71" s="308" t="s">
        <v>638</v>
      </c>
      <c r="D71" s="634">
        <v>238937.4</v>
      </c>
      <c r="E71" s="634">
        <v>240007.4</v>
      </c>
      <c r="F71" s="532">
        <f t="shared" si="0"/>
        <v>-1070</v>
      </c>
      <c r="G71" s="314"/>
      <c r="H71" s="314"/>
    </row>
    <row r="72" spans="1:12" s="313" customFormat="1" ht="181.5" customHeight="1">
      <c r="A72" s="306">
        <v>936</v>
      </c>
      <c r="B72" s="307" t="s">
        <v>658</v>
      </c>
      <c r="C72" s="308" t="s">
        <v>808</v>
      </c>
      <c r="D72" s="634">
        <v>3459.5</v>
      </c>
      <c r="E72" s="634">
        <v>3459.5</v>
      </c>
      <c r="F72" s="532">
        <f t="shared" si="0"/>
        <v>0</v>
      </c>
      <c r="G72" s="314"/>
      <c r="H72" s="314"/>
    </row>
    <row r="73" spans="1:12" s="313" customFormat="1" ht="36" customHeight="1">
      <c r="A73" s="306">
        <v>936</v>
      </c>
      <c r="B73" s="307" t="s">
        <v>658</v>
      </c>
      <c r="C73" s="308" t="s">
        <v>639</v>
      </c>
      <c r="D73" s="634">
        <v>74197.5</v>
      </c>
      <c r="E73" s="634">
        <v>74044.800000000003</v>
      </c>
      <c r="F73" s="532">
        <f t="shared" si="0"/>
        <v>152.69999999999709</v>
      </c>
      <c r="G73" s="314"/>
      <c r="H73" s="314"/>
    </row>
    <row r="74" spans="1:12" s="313" customFormat="1" ht="40.5" customHeight="1">
      <c r="A74" s="315">
        <v>936</v>
      </c>
      <c r="B74" s="307" t="s">
        <v>679</v>
      </c>
      <c r="C74" s="308" t="s">
        <v>640</v>
      </c>
      <c r="D74" s="634">
        <v>3714.7</v>
      </c>
      <c r="E74" s="634">
        <v>3714.7</v>
      </c>
      <c r="F74" s="532">
        <f t="shared" si="0"/>
        <v>0</v>
      </c>
      <c r="G74" s="314"/>
      <c r="H74" s="314"/>
    </row>
    <row r="75" spans="1:12" s="313" customFormat="1" ht="37.5" customHeight="1">
      <c r="A75" s="315">
        <v>936</v>
      </c>
      <c r="B75" s="307" t="s">
        <v>679</v>
      </c>
      <c r="C75" s="308" t="s">
        <v>641</v>
      </c>
      <c r="D75" s="634">
        <v>55.7</v>
      </c>
      <c r="E75" s="634">
        <v>55.7</v>
      </c>
      <c r="F75" s="532">
        <f t="shared" si="0"/>
        <v>0</v>
      </c>
      <c r="G75" s="314"/>
      <c r="H75" s="314"/>
    </row>
    <row r="76" spans="1:12" s="313" customFormat="1" ht="102" customHeight="1">
      <c r="A76" s="306">
        <v>936</v>
      </c>
      <c r="B76" s="307" t="s">
        <v>679</v>
      </c>
      <c r="C76" s="318" t="s">
        <v>1209</v>
      </c>
      <c r="D76" s="634">
        <v>3153.9</v>
      </c>
      <c r="E76" s="634">
        <v>3655</v>
      </c>
      <c r="F76" s="532">
        <f t="shared" si="0"/>
        <v>-501.09999999999991</v>
      </c>
      <c r="G76" s="314"/>
      <c r="H76" s="314"/>
    </row>
    <row r="77" spans="1:12" s="313" customFormat="1" ht="36" customHeight="1">
      <c r="A77" s="303">
        <v>0</v>
      </c>
      <c r="B77" s="304" t="s">
        <v>501</v>
      </c>
      <c r="C77" s="321" t="s">
        <v>239</v>
      </c>
      <c r="D77" s="329">
        <f>SUM(D78:D86)</f>
        <v>39819.799999999996</v>
      </c>
      <c r="E77" s="329">
        <f>SUM(E78:E86)</f>
        <v>39230.699999999997</v>
      </c>
      <c r="F77" s="531">
        <f>D77-E77</f>
        <v>589.09999999999854</v>
      </c>
      <c r="G77" s="314"/>
      <c r="H77" s="314"/>
    </row>
    <row r="78" spans="1:12" s="313" customFormat="1" ht="38.25" customHeight="1">
      <c r="A78" s="306">
        <v>931</v>
      </c>
      <c r="B78" s="307" t="s">
        <v>659</v>
      </c>
      <c r="C78" s="318" t="s">
        <v>194</v>
      </c>
      <c r="D78" s="434">
        <v>4662.6000000000004</v>
      </c>
      <c r="E78" s="434">
        <v>4662.6000000000004</v>
      </c>
      <c r="F78" s="532">
        <f t="shared" si="0"/>
        <v>0</v>
      </c>
      <c r="G78" s="314"/>
      <c r="H78" s="314"/>
    </row>
    <row r="79" spans="1:12" s="313" customFormat="1" ht="38.25" customHeight="1">
      <c r="A79" s="306">
        <v>934</v>
      </c>
      <c r="B79" s="818" t="s">
        <v>664</v>
      </c>
      <c r="C79" s="318" t="s">
        <v>1210</v>
      </c>
      <c r="D79" s="434">
        <v>122</v>
      </c>
      <c r="E79" s="434"/>
      <c r="F79" s="532">
        <f t="shared" si="0"/>
        <v>122</v>
      </c>
      <c r="G79" s="314"/>
      <c r="H79" s="314"/>
    </row>
    <row r="80" spans="1:12" s="313" customFormat="1" ht="49.5" customHeight="1">
      <c r="A80" s="306">
        <v>936</v>
      </c>
      <c r="B80" s="663" t="s">
        <v>859</v>
      </c>
      <c r="C80" s="310" t="s">
        <v>858</v>
      </c>
      <c r="D80" s="487">
        <v>35035.199999999997</v>
      </c>
      <c r="E80" s="487">
        <v>34568.1</v>
      </c>
      <c r="F80" s="532">
        <f t="shared" si="0"/>
        <v>467.09999999999854</v>
      </c>
      <c r="G80" s="314"/>
      <c r="H80" s="314"/>
    </row>
    <row r="81" spans="1:15" s="313" customFormat="1" ht="40.5" hidden="1" customHeight="1">
      <c r="A81" s="306">
        <v>936</v>
      </c>
      <c r="B81" s="307" t="s">
        <v>664</v>
      </c>
      <c r="C81" s="318" t="s">
        <v>686</v>
      </c>
      <c r="D81" s="330"/>
      <c r="E81" s="330"/>
      <c r="F81" s="532">
        <f t="shared" si="0"/>
        <v>0</v>
      </c>
      <c r="G81" s="314"/>
      <c r="H81" s="314"/>
    </row>
    <row r="82" spans="1:15" s="313" customFormat="1" ht="38.25" hidden="1" customHeight="1">
      <c r="A82" s="306">
        <v>934</v>
      </c>
      <c r="B82" s="307" t="s">
        <v>664</v>
      </c>
      <c r="C82" s="318" t="s">
        <v>834</v>
      </c>
      <c r="D82" s="532"/>
      <c r="E82" s="330"/>
      <c r="F82" s="532">
        <f t="shared" si="0"/>
        <v>0</v>
      </c>
      <c r="G82" s="314"/>
      <c r="H82" s="314"/>
    </row>
    <row r="83" spans="1:15" s="313" customFormat="1" ht="53.25" hidden="1" customHeight="1">
      <c r="A83" s="306">
        <v>934</v>
      </c>
      <c r="B83" s="663" t="s">
        <v>725</v>
      </c>
      <c r="C83" s="318" t="s">
        <v>835</v>
      </c>
      <c r="D83" s="532"/>
      <c r="E83" s="330"/>
      <c r="F83" s="662">
        <f t="shared" si="0"/>
        <v>0</v>
      </c>
      <c r="G83" s="661"/>
      <c r="H83" s="314"/>
    </row>
    <row r="84" spans="1:15" s="313" customFormat="1" ht="33" hidden="1" customHeight="1">
      <c r="A84" s="306">
        <v>934</v>
      </c>
      <c r="B84" s="307" t="s">
        <v>718</v>
      </c>
      <c r="C84" s="318" t="s">
        <v>722</v>
      </c>
      <c r="D84" s="330"/>
      <c r="E84" s="330"/>
      <c r="F84" s="532">
        <f t="shared" si="0"/>
        <v>0</v>
      </c>
      <c r="G84" s="314"/>
      <c r="H84" s="314"/>
    </row>
    <row r="85" spans="1:15" s="313" customFormat="1" ht="45" hidden="1" customHeight="1">
      <c r="A85" s="306">
        <v>934</v>
      </c>
      <c r="B85" s="663" t="s">
        <v>725</v>
      </c>
      <c r="C85" s="664" t="s">
        <v>726</v>
      </c>
      <c r="D85" s="330"/>
      <c r="E85" s="330"/>
      <c r="F85" s="532">
        <f t="shared" si="0"/>
        <v>0</v>
      </c>
      <c r="G85" s="314"/>
      <c r="H85" s="314"/>
    </row>
    <row r="86" spans="1:15" s="313" customFormat="1" ht="33" hidden="1" customHeight="1">
      <c r="A86" s="306">
        <v>934</v>
      </c>
      <c r="B86" s="663" t="s">
        <v>725</v>
      </c>
      <c r="C86" s="664" t="s">
        <v>726</v>
      </c>
      <c r="D86" s="330"/>
      <c r="E86" s="330"/>
      <c r="F86" s="532">
        <f t="shared" si="0"/>
        <v>0</v>
      </c>
      <c r="G86" s="314"/>
      <c r="H86" s="314"/>
    </row>
    <row r="87" spans="1:15" s="313" customFormat="1" ht="51.75" hidden="1" customHeight="1">
      <c r="A87" s="389"/>
      <c r="B87" s="172" t="s">
        <v>706</v>
      </c>
      <c r="C87" s="527" t="s">
        <v>682</v>
      </c>
      <c r="D87" s="601">
        <f>D88+D93+D90+D92+D94+D89+D91</f>
        <v>0</v>
      </c>
      <c r="E87" s="601">
        <f>E88+E93+E90+E92+E94</f>
        <v>0</v>
      </c>
      <c r="F87" s="532">
        <f>D87-E87</f>
        <v>0</v>
      </c>
      <c r="G87" s="314"/>
      <c r="H87" s="314"/>
    </row>
    <row r="88" spans="1:15" s="313" customFormat="1" ht="41.25" hidden="1" customHeight="1">
      <c r="A88" s="600">
        <v>934</v>
      </c>
      <c r="B88" s="602" t="s">
        <v>660</v>
      </c>
      <c r="C88" s="318" t="s">
        <v>822</v>
      </c>
      <c r="D88" s="330"/>
      <c r="E88" s="330"/>
      <c r="F88" s="532">
        <f t="shared" si="0"/>
        <v>0</v>
      </c>
      <c r="G88" s="314"/>
      <c r="H88" s="314"/>
      <c r="J88" s="302"/>
      <c r="K88" s="302"/>
      <c r="L88" s="302"/>
      <c r="M88" s="155"/>
      <c r="N88" s="155"/>
      <c r="O88" s="155"/>
    </row>
    <row r="89" spans="1:15" ht="55.5" hidden="1" customHeight="1">
      <c r="A89" s="600">
        <v>934</v>
      </c>
      <c r="B89" s="602" t="s">
        <v>660</v>
      </c>
      <c r="C89" s="318" t="s">
        <v>822</v>
      </c>
      <c r="D89" s="330"/>
      <c r="E89" s="330"/>
      <c r="F89" s="532">
        <f t="shared" si="0"/>
        <v>0</v>
      </c>
    </row>
    <row r="90" spans="1:15" ht="47.25" hidden="1">
      <c r="A90" s="600">
        <v>934</v>
      </c>
      <c r="B90" s="602" t="s">
        <v>660</v>
      </c>
      <c r="C90" s="318" t="s">
        <v>826</v>
      </c>
      <c r="D90" s="330"/>
      <c r="E90" s="330"/>
      <c r="F90" s="532">
        <f t="shared" si="0"/>
        <v>0</v>
      </c>
    </row>
    <row r="91" spans="1:15" ht="35.25" hidden="1" customHeight="1">
      <c r="A91" s="600">
        <v>934</v>
      </c>
      <c r="B91" s="602" t="s">
        <v>660</v>
      </c>
      <c r="C91" s="318" t="s">
        <v>826</v>
      </c>
      <c r="D91" s="330"/>
      <c r="E91" s="330"/>
      <c r="F91" s="532">
        <f t="shared" si="0"/>
        <v>0</v>
      </c>
    </row>
    <row r="92" spans="1:15" ht="61.5" hidden="1" customHeight="1">
      <c r="A92" s="600">
        <v>934</v>
      </c>
      <c r="B92" s="602" t="s">
        <v>660</v>
      </c>
      <c r="C92" s="318" t="s">
        <v>713</v>
      </c>
      <c r="D92" s="330"/>
      <c r="E92" s="330"/>
      <c r="F92" s="532">
        <f t="shared" si="0"/>
        <v>0</v>
      </c>
    </row>
    <row r="93" spans="1:15" ht="63" hidden="1">
      <c r="A93" s="600">
        <v>934</v>
      </c>
      <c r="B93" s="602" t="s">
        <v>660</v>
      </c>
      <c r="C93" s="318" t="s">
        <v>714</v>
      </c>
      <c r="D93" s="330"/>
      <c r="E93" s="330"/>
      <c r="F93" s="532">
        <f t="shared" si="0"/>
        <v>0</v>
      </c>
    </row>
    <row r="94" spans="1:15" hidden="1">
      <c r="A94" s="600">
        <v>936</v>
      </c>
      <c r="B94" s="602" t="s">
        <v>715</v>
      </c>
      <c r="C94" s="318"/>
      <c r="D94" s="330"/>
      <c r="E94" s="330"/>
      <c r="F94" s="532">
        <f t="shared" si="0"/>
        <v>0</v>
      </c>
    </row>
    <row r="95" spans="1:15" ht="47.25" hidden="1">
      <c r="A95" s="529"/>
      <c r="B95" s="530" t="s">
        <v>705</v>
      </c>
      <c r="C95" s="527" t="s">
        <v>84</v>
      </c>
      <c r="D95" s="332">
        <f>SUM(D96:D104)</f>
        <v>0</v>
      </c>
      <c r="E95" s="332">
        <f>SUM(E96:E104)</f>
        <v>0</v>
      </c>
      <c r="F95" s="531">
        <f t="shared" si="0"/>
        <v>0</v>
      </c>
    </row>
    <row r="96" spans="1:15" ht="47.25" hidden="1">
      <c r="A96" s="171">
        <v>934</v>
      </c>
      <c r="B96" s="528" t="s">
        <v>661</v>
      </c>
      <c r="C96" s="207" t="s">
        <v>683</v>
      </c>
      <c r="D96" s="330"/>
      <c r="E96" s="330"/>
      <c r="F96" s="532">
        <f t="shared" si="0"/>
        <v>0</v>
      </c>
    </row>
    <row r="97" spans="1:18" ht="47.25" hidden="1">
      <c r="A97" s="171">
        <v>934</v>
      </c>
      <c r="B97" s="528" t="s">
        <v>661</v>
      </c>
      <c r="C97" s="207" t="s">
        <v>711</v>
      </c>
      <c r="D97" s="330"/>
      <c r="E97" s="330"/>
      <c r="F97" s="532">
        <f t="shared" si="0"/>
        <v>0</v>
      </c>
    </row>
    <row r="98" spans="1:18" ht="31.5" hidden="1">
      <c r="A98" s="171">
        <v>934</v>
      </c>
      <c r="B98" s="528" t="s">
        <v>661</v>
      </c>
      <c r="C98" s="207" t="s">
        <v>723</v>
      </c>
      <c r="D98" s="330"/>
      <c r="E98" s="330"/>
      <c r="F98" s="532">
        <f t="shared" si="0"/>
        <v>0</v>
      </c>
    </row>
    <row r="99" spans="1:18" ht="31.5" hidden="1">
      <c r="A99" s="171">
        <v>934</v>
      </c>
      <c r="B99" s="528" t="s">
        <v>661</v>
      </c>
      <c r="C99" s="207" t="s">
        <v>712</v>
      </c>
      <c r="D99" s="330"/>
      <c r="E99" s="330"/>
      <c r="F99" s="532">
        <f t="shared" si="0"/>
        <v>0</v>
      </c>
    </row>
    <row r="100" spans="1:18" ht="31.5" hidden="1">
      <c r="A100" s="171">
        <v>934</v>
      </c>
      <c r="B100" s="528" t="s">
        <v>661</v>
      </c>
      <c r="C100" s="207" t="s">
        <v>712</v>
      </c>
      <c r="D100" s="330"/>
      <c r="E100" s="330"/>
      <c r="F100" s="532">
        <f t="shared" si="0"/>
        <v>0</v>
      </c>
    </row>
    <row r="101" spans="1:18" ht="31.5" hidden="1">
      <c r="A101" s="171">
        <v>936</v>
      </c>
      <c r="B101" s="528" t="s">
        <v>661</v>
      </c>
      <c r="C101" s="207" t="s">
        <v>684</v>
      </c>
      <c r="D101" s="532"/>
      <c r="E101" s="532"/>
      <c r="F101" s="532">
        <f t="shared" si="0"/>
        <v>0</v>
      </c>
    </row>
    <row r="102" spans="1:18" ht="39" hidden="1" customHeight="1">
      <c r="A102" s="171">
        <v>936</v>
      </c>
      <c r="B102" s="528" t="s">
        <v>661</v>
      </c>
      <c r="C102" s="207" t="s">
        <v>824</v>
      </c>
      <c r="D102" s="532"/>
      <c r="E102" s="532"/>
      <c r="F102" s="532">
        <f t="shared" si="0"/>
        <v>0</v>
      </c>
    </row>
    <row r="103" spans="1:18" ht="31.5" hidden="1">
      <c r="A103" s="171">
        <v>936</v>
      </c>
      <c r="B103" s="528" t="s">
        <v>661</v>
      </c>
      <c r="C103" s="207" t="s">
        <v>685</v>
      </c>
      <c r="D103" s="603"/>
      <c r="E103" s="603"/>
      <c r="F103" s="532">
        <f t="shared" si="0"/>
        <v>0</v>
      </c>
      <c r="R103" s="386"/>
    </row>
    <row r="104" spans="1:18" ht="47.25" hidden="1">
      <c r="A104" s="171">
        <v>936</v>
      </c>
      <c r="B104" s="528" t="s">
        <v>661</v>
      </c>
      <c r="C104" s="207" t="s">
        <v>825</v>
      </c>
      <c r="D104" s="532"/>
      <c r="E104" s="532"/>
      <c r="F104" s="532">
        <f t="shared" si="0"/>
        <v>0</v>
      </c>
    </row>
    <row r="113" spans="8:14">
      <c r="I113" s="328"/>
    </row>
    <row r="124" spans="8:14" ht="31.5">
      <c r="I124" s="322" t="s">
        <v>45</v>
      </c>
      <c r="J124" s="322" t="s">
        <v>605</v>
      </c>
      <c r="K124" s="323" t="s">
        <v>449</v>
      </c>
      <c r="L124" s="324" t="s">
        <v>450</v>
      </c>
      <c r="M124" s="324" t="s">
        <v>124</v>
      </c>
      <c r="N124" s="324" t="s">
        <v>260</v>
      </c>
    </row>
    <row r="125" spans="8:14">
      <c r="H125" s="322" t="s">
        <v>46</v>
      </c>
      <c r="I125" s="325">
        <v>2</v>
      </c>
      <c r="J125" s="325">
        <v>3</v>
      </c>
      <c r="K125" s="325">
        <v>4</v>
      </c>
      <c r="L125" s="325">
        <v>5</v>
      </c>
      <c r="M125" s="325">
        <v>6</v>
      </c>
      <c r="N125" s="325">
        <v>7</v>
      </c>
    </row>
    <row r="126" spans="8:14">
      <c r="H126" s="325">
        <v>1</v>
      </c>
      <c r="I126" s="326" t="s">
        <v>244</v>
      </c>
      <c r="J126" s="326"/>
      <c r="K126" s="435">
        <v>11.4</v>
      </c>
      <c r="L126" s="387">
        <v>217.8</v>
      </c>
      <c r="M126" s="387">
        <v>24.975000000000001</v>
      </c>
      <c r="N126" s="436">
        <f>K126+L126+M126+J126</f>
        <v>254.17500000000001</v>
      </c>
    </row>
    <row r="127" spans="8:14">
      <c r="H127" s="326">
        <v>1</v>
      </c>
      <c r="I127" s="326" t="s">
        <v>245</v>
      </c>
      <c r="J127" s="326"/>
      <c r="K127" s="435">
        <v>27.5</v>
      </c>
      <c r="L127" s="387">
        <v>217.8</v>
      </c>
      <c r="M127" s="387">
        <v>24.975000000000001</v>
      </c>
      <c r="N127" s="436">
        <f t="shared" ref="N127:N141" si="2">K127+L127+M127+J127</f>
        <v>270.27500000000003</v>
      </c>
    </row>
    <row r="128" spans="8:14">
      <c r="H128" s="326">
        <v>2</v>
      </c>
      <c r="I128" s="326" t="s">
        <v>246</v>
      </c>
      <c r="J128" s="326"/>
      <c r="K128" s="435">
        <v>12.8</v>
      </c>
      <c r="L128" s="387">
        <v>217.8</v>
      </c>
      <c r="M128" s="387">
        <v>24.975000000000001</v>
      </c>
      <c r="N128" s="436">
        <f t="shared" si="2"/>
        <v>255.57500000000002</v>
      </c>
    </row>
    <row r="129" spans="8:14">
      <c r="H129" s="326">
        <v>3</v>
      </c>
      <c r="I129" s="326" t="s">
        <v>247</v>
      </c>
      <c r="J129" s="326"/>
      <c r="K129" s="435">
        <v>8.1999999999999993</v>
      </c>
      <c r="L129" s="387">
        <v>217.8</v>
      </c>
      <c r="M129" s="387">
        <v>24.975000000000001</v>
      </c>
      <c r="N129" s="436">
        <f t="shared" si="2"/>
        <v>250.97499999999999</v>
      </c>
    </row>
    <row r="130" spans="8:14">
      <c r="H130" s="326">
        <v>4</v>
      </c>
      <c r="I130" s="326" t="s">
        <v>248</v>
      </c>
      <c r="J130" s="326"/>
      <c r="K130" s="435">
        <v>26.7</v>
      </c>
      <c r="L130" s="387">
        <v>217.8</v>
      </c>
      <c r="M130" s="387">
        <v>24.975000000000001</v>
      </c>
      <c r="N130" s="436">
        <f t="shared" si="2"/>
        <v>269.47500000000002</v>
      </c>
    </row>
    <row r="131" spans="8:14">
      <c r="H131" s="326">
        <v>5</v>
      </c>
      <c r="I131" s="327" t="s">
        <v>249</v>
      </c>
      <c r="J131" s="327"/>
      <c r="K131" s="435">
        <v>9.8000000000000007</v>
      </c>
      <c r="L131" s="387">
        <v>217.8</v>
      </c>
      <c r="M131" s="387">
        <v>24.975000000000001</v>
      </c>
      <c r="N131" s="436">
        <f t="shared" si="2"/>
        <v>252.57500000000002</v>
      </c>
    </row>
    <row r="132" spans="8:14">
      <c r="H132" s="327">
        <v>6</v>
      </c>
      <c r="I132" s="327" t="s">
        <v>250</v>
      </c>
      <c r="J132" s="327"/>
      <c r="K132" s="435">
        <v>7.7</v>
      </c>
      <c r="L132" s="387">
        <v>217.8</v>
      </c>
      <c r="M132" s="387">
        <v>24.975000000000001</v>
      </c>
      <c r="N132" s="436">
        <f t="shared" si="2"/>
        <v>250.47499999999999</v>
      </c>
    </row>
    <row r="133" spans="8:14">
      <c r="H133" s="327">
        <v>7</v>
      </c>
      <c r="I133" s="327" t="s">
        <v>252</v>
      </c>
      <c r="J133" s="327"/>
      <c r="K133" s="435">
        <v>7.5</v>
      </c>
      <c r="L133" s="387">
        <v>217.8</v>
      </c>
      <c r="M133" s="387">
        <v>24.975000000000001</v>
      </c>
      <c r="N133" s="436">
        <f t="shared" si="2"/>
        <v>250.27500000000001</v>
      </c>
    </row>
    <row r="134" spans="8:14">
      <c r="H134" s="327">
        <v>8</v>
      </c>
      <c r="I134" s="327" t="s">
        <v>253</v>
      </c>
      <c r="J134" s="327"/>
      <c r="K134" s="435">
        <v>7.1</v>
      </c>
      <c r="L134" s="387">
        <v>217.8</v>
      </c>
      <c r="M134" s="387">
        <v>24.975000000000001</v>
      </c>
      <c r="N134" s="436">
        <f t="shared" si="2"/>
        <v>249.875</v>
      </c>
    </row>
    <row r="135" spans="8:14">
      <c r="H135" s="327">
        <v>9</v>
      </c>
      <c r="I135" s="327" t="s">
        <v>251</v>
      </c>
      <c r="J135" s="327"/>
      <c r="K135" s="435">
        <v>20.8</v>
      </c>
      <c r="L135" s="387">
        <v>217.8</v>
      </c>
      <c r="M135" s="387">
        <v>24.975000000000001</v>
      </c>
      <c r="N135" s="436">
        <f t="shared" si="2"/>
        <v>263.57500000000005</v>
      </c>
    </row>
    <row r="136" spans="8:14">
      <c r="H136" s="327">
        <v>10</v>
      </c>
      <c r="I136" s="327" t="s">
        <v>293</v>
      </c>
      <c r="J136" s="327"/>
      <c r="K136" s="435">
        <v>29.4</v>
      </c>
      <c r="L136" s="387">
        <v>217.8</v>
      </c>
      <c r="M136" s="387">
        <v>24.975000000000001</v>
      </c>
      <c r="N136" s="436">
        <f t="shared" si="2"/>
        <v>272.17500000000001</v>
      </c>
    </row>
    <row r="137" spans="8:14">
      <c r="H137" s="327">
        <v>11</v>
      </c>
      <c r="I137" s="327" t="s">
        <v>254</v>
      </c>
      <c r="J137" s="327"/>
      <c r="K137" s="435">
        <v>35.799999999999997</v>
      </c>
      <c r="L137" s="387">
        <v>217.8</v>
      </c>
      <c r="M137" s="387">
        <v>24.975000000000001</v>
      </c>
      <c r="N137" s="436">
        <f t="shared" si="2"/>
        <v>278.57500000000005</v>
      </c>
    </row>
    <row r="138" spans="8:14">
      <c r="H138" s="327">
        <v>12</v>
      </c>
      <c r="I138" s="327" t="s">
        <v>255</v>
      </c>
      <c r="J138" s="327"/>
      <c r="K138" s="435">
        <v>38.4</v>
      </c>
      <c r="L138" s="387">
        <v>217.8</v>
      </c>
      <c r="M138" s="387">
        <v>24.975000000000001</v>
      </c>
      <c r="N138" s="436">
        <f t="shared" si="2"/>
        <v>281.17500000000001</v>
      </c>
    </row>
    <row r="139" spans="8:14">
      <c r="H139" s="327">
        <v>13</v>
      </c>
      <c r="I139" s="327" t="s">
        <v>256</v>
      </c>
      <c r="J139" s="327"/>
      <c r="K139" s="435">
        <v>13</v>
      </c>
      <c r="L139" s="387">
        <v>217.8</v>
      </c>
      <c r="M139" s="387">
        <v>24.975000000000001</v>
      </c>
      <c r="N139" s="436">
        <f t="shared" si="2"/>
        <v>255.77500000000001</v>
      </c>
    </row>
    <row r="140" spans="8:14">
      <c r="H140" s="327">
        <v>14</v>
      </c>
      <c r="I140" s="327" t="s">
        <v>257</v>
      </c>
      <c r="J140" s="327"/>
      <c r="K140" s="435">
        <v>15.7</v>
      </c>
      <c r="L140" s="387">
        <v>217.8</v>
      </c>
      <c r="M140" s="387">
        <v>24.975000000000001</v>
      </c>
      <c r="N140" s="436">
        <f t="shared" si="2"/>
        <v>258.47500000000002</v>
      </c>
    </row>
    <row r="141" spans="8:14">
      <c r="H141" s="327">
        <v>15</v>
      </c>
      <c r="I141" s="327" t="s">
        <v>258</v>
      </c>
      <c r="J141" s="327"/>
      <c r="K141" s="437">
        <v>57.3</v>
      </c>
      <c r="L141" s="387">
        <v>217.8</v>
      </c>
      <c r="M141" s="387">
        <v>24.975000000000001</v>
      </c>
      <c r="N141" s="436">
        <f t="shared" si="2"/>
        <v>300.07500000000005</v>
      </c>
    </row>
    <row r="142" spans="8:14">
      <c r="H142" s="327">
        <v>16</v>
      </c>
      <c r="I142" s="327" t="s">
        <v>259</v>
      </c>
      <c r="J142" s="327"/>
      <c r="K142" s="509">
        <v>413.1</v>
      </c>
      <c r="L142" s="387"/>
      <c r="M142" s="387">
        <v>36</v>
      </c>
      <c r="N142" s="242"/>
    </row>
    <row r="143" spans="8:14">
      <c r="H143" s="327">
        <v>17</v>
      </c>
      <c r="I143" s="328" t="s">
        <v>260</v>
      </c>
      <c r="J143" s="385">
        <f>SUM(J126:J142)</f>
        <v>0</v>
      </c>
      <c r="K143" s="385">
        <f>SUM(K126:K142)</f>
        <v>742.2</v>
      </c>
      <c r="L143" s="385">
        <f>SUM(L126:L142)</f>
        <v>3484.8000000000011</v>
      </c>
      <c r="M143" s="385">
        <f>SUM(M126:M142)</f>
        <v>435.60000000000008</v>
      </c>
      <c r="N143" s="429">
        <f>K143+L143+M143+J143</f>
        <v>4662.6000000000013</v>
      </c>
    </row>
  </sheetData>
  <autoFilter ref="A10:G103"/>
  <mergeCells count="13">
    <mergeCell ref="C1:D1"/>
    <mergeCell ref="A10:A11"/>
    <mergeCell ref="B10:B11"/>
    <mergeCell ref="C10:C11"/>
    <mergeCell ref="D10:D11"/>
    <mergeCell ref="C2:D2"/>
    <mergeCell ref="C3:D3"/>
    <mergeCell ref="C4:D4"/>
    <mergeCell ref="F10:F11"/>
    <mergeCell ref="E10:E11"/>
    <mergeCell ref="C5:D5"/>
    <mergeCell ref="C6:D6"/>
    <mergeCell ref="B8:D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88"/>
  <sheetViews>
    <sheetView view="pageBreakPreview" zoomScale="80" zoomScaleSheetLayoutView="80" workbookViewId="0">
      <selection activeCell="E66" sqref="A1:E66"/>
    </sheetView>
  </sheetViews>
  <sheetFormatPr defaultRowHeight="15"/>
  <cols>
    <col min="1" max="1" width="7.42578125" customWidth="1"/>
    <col min="2" max="2" width="29.7109375" customWidth="1"/>
    <col min="3" max="3" width="53.5703125" customWidth="1"/>
    <col min="4" max="4" width="17.7109375" customWidth="1"/>
    <col min="5" max="5" width="17.140625" customWidth="1"/>
    <col min="6" max="6" width="19.5703125" style="510" customWidth="1"/>
    <col min="7" max="7" width="19.28515625" style="510" customWidth="1"/>
    <col min="8" max="8" width="17.140625" style="824" customWidth="1"/>
    <col min="9" max="9" width="19" style="824" customWidth="1"/>
    <col min="10" max="10" width="24" customWidth="1"/>
    <col min="12" max="18" width="13.42578125" customWidth="1"/>
    <col min="22" max="26" width="13.42578125" customWidth="1"/>
  </cols>
  <sheetData>
    <row r="1" spans="1:9" ht="15.75">
      <c r="A1" s="155"/>
      <c r="B1" s="155"/>
      <c r="C1" s="439"/>
      <c r="E1" s="439" t="s">
        <v>451</v>
      </c>
    </row>
    <row r="2" spans="1:9" ht="15.75">
      <c r="A2" s="155"/>
      <c r="B2" s="155"/>
      <c r="C2" s="439"/>
      <c r="E2" s="439" t="s">
        <v>204</v>
      </c>
    </row>
    <row r="3" spans="1:9" ht="15.75">
      <c r="A3" s="155"/>
      <c r="B3" s="155"/>
      <c r="C3" s="439"/>
      <c r="E3" s="439" t="s">
        <v>306</v>
      </c>
    </row>
    <row r="4" spans="1:9" ht="15.75">
      <c r="A4" s="155"/>
      <c r="B4" s="155"/>
      <c r="C4" s="439"/>
      <c r="E4" s="439" t="s">
        <v>153</v>
      </c>
    </row>
    <row r="5" spans="1:9" ht="15.75">
      <c r="A5" s="155"/>
      <c r="B5" s="155"/>
      <c r="C5" s="439"/>
      <c r="E5" s="697" t="s">
        <v>846</v>
      </c>
    </row>
    <row r="6" spans="1:9" ht="15.75">
      <c r="A6" s="155"/>
      <c r="B6" s="155"/>
      <c r="C6" s="439"/>
      <c r="E6" s="697" t="s">
        <v>1092</v>
      </c>
      <c r="F6" s="525">
        <f>D12+пр.5!G11</f>
        <v>961519.10000000009</v>
      </c>
      <c r="G6" s="525">
        <f>E12+пр.5!H11</f>
        <v>921767.7</v>
      </c>
    </row>
    <row r="7" spans="1:9" ht="15.75">
      <c r="A7" s="155"/>
      <c r="B7" s="155"/>
      <c r="C7" s="155"/>
      <c r="F7" s="525">
        <f>пр.5!G11+пр.7!F12</f>
        <v>981161.60000000009</v>
      </c>
      <c r="G7" s="525">
        <f>пр.5!H11+пр.7!G12</f>
        <v>819941.6</v>
      </c>
    </row>
    <row r="8" spans="1:9" ht="15.75" customHeight="1">
      <c r="A8" s="155"/>
      <c r="B8" s="872" t="s">
        <v>1093</v>
      </c>
      <c r="C8" s="876"/>
      <c r="F8" s="525">
        <f>F6-F7</f>
        <v>-19642.5</v>
      </c>
      <c r="G8" s="525">
        <f>G6-G7</f>
        <v>101826.09999999998</v>
      </c>
    </row>
    <row r="9" spans="1:9" ht="15.75">
      <c r="A9" s="155"/>
      <c r="B9" s="155"/>
      <c r="C9" s="155"/>
    </row>
    <row r="10" spans="1:9" ht="54" customHeight="1">
      <c r="A10" s="873" t="s">
        <v>305</v>
      </c>
      <c r="B10" s="873" t="s">
        <v>109</v>
      </c>
      <c r="C10" s="873" t="s">
        <v>209</v>
      </c>
      <c r="D10" s="869" t="s">
        <v>785</v>
      </c>
      <c r="E10" s="869" t="s">
        <v>1094</v>
      </c>
      <c r="F10" s="869" t="s">
        <v>843</v>
      </c>
      <c r="G10" s="869" t="s">
        <v>1095</v>
      </c>
      <c r="H10" s="879" t="s">
        <v>1233</v>
      </c>
      <c r="I10" s="879" t="s">
        <v>1234</v>
      </c>
    </row>
    <row r="11" spans="1:9" ht="24" customHeight="1">
      <c r="A11" s="873"/>
      <c r="B11" s="873"/>
      <c r="C11" s="873"/>
      <c r="D11" s="870"/>
      <c r="E11" s="870"/>
      <c r="F11" s="870"/>
      <c r="G11" s="870"/>
      <c r="H11" s="880"/>
      <c r="I11" s="880"/>
    </row>
    <row r="12" spans="1:9" ht="47.25">
      <c r="A12" s="303">
        <v>0</v>
      </c>
      <c r="B12" s="304" t="s">
        <v>156</v>
      </c>
      <c r="C12" s="305" t="s">
        <v>62</v>
      </c>
      <c r="D12" s="329">
        <f>D13+D16+D40+D63</f>
        <v>679869.4</v>
      </c>
      <c r="E12" s="329">
        <f>E13+E16+E40+E63</f>
        <v>633567</v>
      </c>
      <c r="F12" s="329">
        <f>F13+F16+F40+F63</f>
        <v>699511.9</v>
      </c>
      <c r="G12" s="329">
        <f>G13+G16+G40+G63</f>
        <v>531740.9</v>
      </c>
      <c r="H12" s="825">
        <f>D12-F12</f>
        <v>-19642.5</v>
      </c>
      <c r="I12" s="825">
        <f>E12-G12</f>
        <v>101826.09999999998</v>
      </c>
    </row>
    <row r="13" spans="1:9" ht="47.25">
      <c r="A13" s="303">
        <v>931</v>
      </c>
      <c r="B13" s="304" t="s">
        <v>498</v>
      </c>
      <c r="C13" s="305" t="s">
        <v>236</v>
      </c>
      <c r="D13" s="329">
        <f>D14</f>
        <v>2804</v>
      </c>
      <c r="E13" s="329">
        <f>E14+E15</f>
        <v>512.4</v>
      </c>
      <c r="F13" s="329">
        <f>F14</f>
        <v>3043.7</v>
      </c>
      <c r="G13" s="329">
        <f>G14+G15</f>
        <v>752.1</v>
      </c>
      <c r="H13" s="825">
        <f t="shared" ref="H13:H64" si="0">D13-F13</f>
        <v>-239.69999999999982</v>
      </c>
      <c r="I13" s="825">
        <f t="shared" ref="I13:I64" si="1">E13-G13</f>
        <v>-239.70000000000005</v>
      </c>
    </row>
    <row r="14" spans="1:9" ht="69" customHeight="1">
      <c r="A14" s="306">
        <v>931</v>
      </c>
      <c r="B14" s="307" t="s">
        <v>478</v>
      </c>
      <c r="C14" s="308" t="s">
        <v>752</v>
      </c>
      <c r="D14" s="330">
        <v>2804</v>
      </c>
      <c r="E14" s="330">
        <v>512.4</v>
      </c>
      <c r="F14" s="330">
        <v>3043.7</v>
      </c>
      <c r="G14" s="330">
        <v>752.1</v>
      </c>
      <c r="H14" s="825">
        <f t="shared" si="0"/>
        <v>-239.69999999999982</v>
      </c>
      <c r="I14" s="825">
        <f t="shared" si="1"/>
        <v>-239.70000000000005</v>
      </c>
    </row>
    <row r="15" spans="1:9" ht="47.25" hidden="1" customHeight="1">
      <c r="A15" s="306">
        <v>931</v>
      </c>
      <c r="B15" s="307" t="s">
        <v>479</v>
      </c>
      <c r="C15" s="308" t="s">
        <v>575</v>
      </c>
      <c r="D15" s="306"/>
      <c r="E15" s="330"/>
      <c r="F15" s="306"/>
      <c r="G15" s="330"/>
      <c r="H15" s="825">
        <f t="shared" si="0"/>
        <v>0</v>
      </c>
      <c r="I15" s="825">
        <f t="shared" si="1"/>
        <v>0</v>
      </c>
    </row>
    <row r="16" spans="1:9" ht="63">
      <c r="A16" s="303">
        <v>0</v>
      </c>
      <c r="B16" s="304" t="s">
        <v>499</v>
      </c>
      <c r="C16" s="305" t="s">
        <v>237</v>
      </c>
      <c r="D16" s="329">
        <f>SUM(D17:D39)</f>
        <v>296857.59999999998</v>
      </c>
      <c r="E16" s="329">
        <f>SUM(E17:E39)</f>
        <v>252658.4</v>
      </c>
      <c r="F16" s="329">
        <f>SUM(F17:F39)</f>
        <v>319591.90000000002</v>
      </c>
      <c r="G16" s="329">
        <f>SUM(G17:G39)</f>
        <v>188501.7</v>
      </c>
      <c r="H16" s="825">
        <f t="shared" si="0"/>
        <v>-22734.300000000047</v>
      </c>
      <c r="I16" s="825">
        <f t="shared" si="1"/>
        <v>64156.699999999983</v>
      </c>
    </row>
    <row r="17" spans="1:9" ht="63">
      <c r="A17" s="306">
        <v>934</v>
      </c>
      <c r="B17" s="632" t="s">
        <v>481</v>
      </c>
      <c r="C17" s="308" t="s">
        <v>753</v>
      </c>
      <c r="D17" s="331">
        <v>531.4</v>
      </c>
      <c r="E17" s="331">
        <v>0</v>
      </c>
      <c r="F17" s="331">
        <v>531.4</v>
      </c>
      <c r="G17" s="331">
        <v>0</v>
      </c>
      <c r="H17" s="825">
        <f t="shared" si="0"/>
        <v>0</v>
      </c>
      <c r="I17" s="825">
        <f t="shared" si="1"/>
        <v>0</v>
      </c>
    </row>
    <row r="18" spans="1:9" ht="151.5" customHeight="1">
      <c r="A18" s="306">
        <v>934</v>
      </c>
      <c r="B18" s="632" t="s">
        <v>481</v>
      </c>
      <c r="C18" s="308" t="s">
        <v>754</v>
      </c>
      <c r="D18" s="331">
        <v>6425.6</v>
      </c>
      <c r="E18" s="331">
        <v>6425.6</v>
      </c>
      <c r="F18" s="331">
        <v>6425.6</v>
      </c>
      <c r="G18" s="331">
        <v>6425.6</v>
      </c>
      <c r="H18" s="825">
        <f t="shared" si="0"/>
        <v>0</v>
      </c>
      <c r="I18" s="825">
        <f t="shared" si="1"/>
        <v>0</v>
      </c>
    </row>
    <row r="19" spans="1:9" ht="86.25" hidden="1" customHeight="1">
      <c r="A19" s="306">
        <v>934</v>
      </c>
      <c r="B19" s="315" t="s">
        <v>481</v>
      </c>
      <c r="C19" s="316" t="s">
        <v>581</v>
      </c>
      <c r="D19" s="331"/>
      <c r="E19" s="331"/>
      <c r="F19" s="331"/>
      <c r="G19" s="331"/>
      <c r="H19" s="825">
        <f t="shared" si="0"/>
        <v>0</v>
      </c>
      <c r="I19" s="825">
        <f t="shared" si="1"/>
        <v>0</v>
      </c>
    </row>
    <row r="20" spans="1:9" ht="63">
      <c r="A20" s="306">
        <v>934</v>
      </c>
      <c r="B20" s="632" t="s">
        <v>481</v>
      </c>
      <c r="C20" s="316" t="s">
        <v>755</v>
      </c>
      <c r="D20" s="331">
        <v>64.099999999999994</v>
      </c>
      <c r="E20" s="331">
        <v>64.099999999999994</v>
      </c>
      <c r="F20" s="331">
        <v>64.099999999999994</v>
      </c>
      <c r="G20" s="331">
        <v>64.099999999999994</v>
      </c>
      <c r="H20" s="825">
        <f t="shared" si="0"/>
        <v>0</v>
      </c>
      <c r="I20" s="825">
        <f t="shared" si="1"/>
        <v>0</v>
      </c>
    </row>
    <row r="21" spans="1:9" ht="47.25">
      <c r="A21" s="306">
        <v>934</v>
      </c>
      <c r="B21" s="632" t="s">
        <v>481</v>
      </c>
      <c r="C21" s="316" t="s">
        <v>623</v>
      </c>
      <c r="D21" s="331">
        <v>631.1</v>
      </c>
      <c r="E21" s="331">
        <v>631.1</v>
      </c>
      <c r="F21" s="331">
        <v>631.1</v>
      </c>
      <c r="G21" s="331">
        <v>631.1</v>
      </c>
      <c r="H21" s="825">
        <f t="shared" si="0"/>
        <v>0</v>
      </c>
      <c r="I21" s="825">
        <f t="shared" si="1"/>
        <v>0</v>
      </c>
    </row>
    <row r="22" spans="1:9" ht="63">
      <c r="A22" s="306">
        <v>934</v>
      </c>
      <c r="B22" s="632" t="s">
        <v>481</v>
      </c>
      <c r="C22" s="308" t="s">
        <v>746</v>
      </c>
      <c r="D22" s="331">
        <v>19102.2</v>
      </c>
      <c r="E22" s="331">
        <v>19102.2</v>
      </c>
      <c r="F22" s="331">
        <v>19102.2</v>
      </c>
      <c r="G22" s="331">
        <v>19102.2</v>
      </c>
      <c r="H22" s="825">
        <f t="shared" si="0"/>
        <v>0</v>
      </c>
      <c r="I22" s="825">
        <f t="shared" si="1"/>
        <v>0</v>
      </c>
    </row>
    <row r="23" spans="1:9" ht="136.5" hidden="1" customHeight="1">
      <c r="A23" s="306">
        <v>934</v>
      </c>
      <c r="B23" s="632" t="s">
        <v>481</v>
      </c>
      <c r="C23" s="308" t="s">
        <v>745</v>
      </c>
      <c r="D23" s="331"/>
      <c r="E23" s="331"/>
      <c r="F23" s="331"/>
      <c r="G23" s="331"/>
      <c r="H23" s="825">
        <f t="shared" si="0"/>
        <v>0</v>
      </c>
      <c r="I23" s="825">
        <f t="shared" si="1"/>
        <v>0</v>
      </c>
    </row>
    <row r="24" spans="1:9" ht="88.5" customHeight="1">
      <c r="A24" s="306">
        <v>934</v>
      </c>
      <c r="B24" s="632" t="s">
        <v>481</v>
      </c>
      <c r="C24" s="318" t="s">
        <v>624</v>
      </c>
      <c r="D24" s="331">
        <v>500</v>
      </c>
      <c r="E24" s="331">
        <v>500</v>
      </c>
      <c r="F24" s="331">
        <v>500</v>
      </c>
      <c r="G24" s="331">
        <v>500</v>
      </c>
      <c r="H24" s="825">
        <f t="shared" si="0"/>
        <v>0</v>
      </c>
      <c r="I24" s="825">
        <f t="shared" si="1"/>
        <v>0</v>
      </c>
    </row>
    <row r="25" spans="1:9" ht="88.5" hidden="1" customHeight="1">
      <c r="A25" s="306">
        <v>934</v>
      </c>
      <c r="B25" s="632" t="s">
        <v>657</v>
      </c>
      <c r="C25" s="318" t="s">
        <v>749</v>
      </c>
      <c r="D25" s="487"/>
      <c r="E25" s="331"/>
      <c r="F25" s="487"/>
      <c r="G25" s="331"/>
      <c r="H25" s="825"/>
      <c r="I25" s="825"/>
    </row>
    <row r="26" spans="1:9" ht="78.75">
      <c r="A26" s="306">
        <v>936</v>
      </c>
      <c r="B26" s="632" t="s">
        <v>481</v>
      </c>
      <c r="C26" s="318" t="s">
        <v>750</v>
      </c>
      <c r="D26" s="487">
        <v>481.5</v>
      </c>
      <c r="E26" s="331"/>
      <c r="F26" s="487">
        <v>481.5</v>
      </c>
      <c r="G26" s="331">
        <v>0</v>
      </c>
      <c r="H26" s="825">
        <f t="shared" si="0"/>
        <v>0</v>
      </c>
      <c r="I26" s="825">
        <f t="shared" si="1"/>
        <v>0</v>
      </c>
    </row>
    <row r="27" spans="1:9" ht="83.25" customHeight="1">
      <c r="A27" s="306">
        <v>936</v>
      </c>
      <c r="B27" s="632" t="s">
        <v>481</v>
      </c>
      <c r="C27" s="308" t="s">
        <v>852</v>
      </c>
      <c r="D27" s="481">
        <v>5940.6</v>
      </c>
      <c r="E27" s="331">
        <v>5940.6</v>
      </c>
      <c r="F27" s="481">
        <v>5940.6</v>
      </c>
      <c r="G27" s="331">
        <v>5940.6</v>
      </c>
      <c r="H27" s="825">
        <f t="shared" si="0"/>
        <v>0</v>
      </c>
      <c r="I27" s="825">
        <f t="shared" si="1"/>
        <v>0</v>
      </c>
    </row>
    <row r="28" spans="1:9" ht="83.25" customHeight="1">
      <c r="A28" s="306">
        <v>936</v>
      </c>
      <c r="B28" s="315" t="s">
        <v>657</v>
      </c>
      <c r="C28" s="308" t="s">
        <v>853</v>
      </c>
      <c r="D28" s="481">
        <v>2403.1</v>
      </c>
      <c r="E28" s="331">
        <v>2403.1</v>
      </c>
      <c r="F28" s="481">
        <v>2403.1</v>
      </c>
      <c r="G28" s="331">
        <v>2403.1</v>
      </c>
      <c r="H28" s="825">
        <f t="shared" si="0"/>
        <v>0</v>
      </c>
      <c r="I28" s="825">
        <f t="shared" si="1"/>
        <v>0</v>
      </c>
    </row>
    <row r="29" spans="1:9" ht="83.25" customHeight="1">
      <c r="A29" s="306">
        <v>936</v>
      </c>
      <c r="B29" s="315" t="s">
        <v>657</v>
      </c>
      <c r="C29" s="308" t="s">
        <v>1215</v>
      </c>
      <c r="D29" s="481">
        <v>29318.9</v>
      </c>
      <c r="E29" s="331">
        <v>28629.3</v>
      </c>
      <c r="F29" s="481">
        <v>0</v>
      </c>
      <c r="G29" s="331">
        <v>0</v>
      </c>
      <c r="H29" s="825">
        <f t="shared" si="0"/>
        <v>29318.9</v>
      </c>
      <c r="I29" s="825">
        <f t="shared" si="1"/>
        <v>28629.3</v>
      </c>
    </row>
    <row r="30" spans="1:9" ht="83.25" customHeight="1">
      <c r="A30" s="306">
        <v>936</v>
      </c>
      <c r="B30" s="632" t="s">
        <v>657</v>
      </c>
      <c r="C30" s="308" t="s">
        <v>625</v>
      </c>
      <c r="D30" s="481">
        <v>9737.2000000000007</v>
      </c>
      <c r="E30" s="331">
        <v>9737.2000000000007</v>
      </c>
      <c r="F30" s="481">
        <v>9737.2000000000007</v>
      </c>
      <c r="G30" s="331">
        <v>9737.2000000000007</v>
      </c>
      <c r="H30" s="825">
        <f t="shared" si="0"/>
        <v>0</v>
      </c>
      <c r="I30" s="825">
        <f t="shared" si="1"/>
        <v>0</v>
      </c>
    </row>
    <row r="31" spans="1:9" ht="83.25" customHeight="1">
      <c r="A31" s="306">
        <v>936</v>
      </c>
      <c r="B31" s="632" t="s">
        <v>657</v>
      </c>
      <c r="C31" s="320" t="s">
        <v>791</v>
      </c>
      <c r="D31" s="487">
        <v>86078.6</v>
      </c>
      <c r="E31" s="331">
        <v>86078.6</v>
      </c>
      <c r="F31" s="487">
        <v>86078.6</v>
      </c>
      <c r="G31" s="331">
        <v>86078.6</v>
      </c>
      <c r="H31" s="825">
        <f t="shared" si="0"/>
        <v>0</v>
      </c>
      <c r="I31" s="825">
        <f t="shared" si="1"/>
        <v>0</v>
      </c>
    </row>
    <row r="32" spans="1:9" ht="102" customHeight="1">
      <c r="A32" s="306">
        <v>931</v>
      </c>
      <c r="B32" s="315" t="s">
        <v>657</v>
      </c>
      <c r="C32" s="665" t="s">
        <v>855</v>
      </c>
      <c r="D32" s="481">
        <v>42076.6</v>
      </c>
      <c r="E32" s="331">
        <v>42076.6</v>
      </c>
      <c r="F32" s="481">
        <v>42076.6</v>
      </c>
      <c r="G32" s="331">
        <v>42076.6</v>
      </c>
      <c r="H32" s="825">
        <f t="shared" si="0"/>
        <v>0</v>
      </c>
      <c r="I32" s="825">
        <f t="shared" si="1"/>
        <v>0</v>
      </c>
    </row>
    <row r="33" spans="1:11" ht="102" customHeight="1">
      <c r="A33" s="309">
        <v>934</v>
      </c>
      <c r="B33" s="632" t="s">
        <v>666</v>
      </c>
      <c r="C33" s="310" t="s">
        <v>681</v>
      </c>
      <c r="D33" s="481">
        <v>10704.3</v>
      </c>
      <c r="E33" s="331">
        <v>10704.3</v>
      </c>
      <c r="F33" s="481">
        <v>11060.6</v>
      </c>
      <c r="G33" s="331">
        <v>0</v>
      </c>
      <c r="H33" s="825">
        <f t="shared" si="0"/>
        <v>-356.30000000000109</v>
      </c>
      <c r="I33" s="825">
        <f t="shared" si="1"/>
        <v>10704.3</v>
      </c>
      <c r="J33" t="s">
        <v>1212</v>
      </c>
    </row>
    <row r="34" spans="1:11" ht="102" customHeight="1">
      <c r="A34" s="306">
        <v>934</v>
      </c>
      <c r="B34" s="315" t="s">
        <v>657</v>
      </c>
      <c r="C34" s="308" t="s">
        <v>849</v>
      </c>
      <c r="D34" s="481">
        <v>7404.4</v>
      </c>
      <c r="E34" s="331">
        <v>7404.4</v>
      </c>
      <c r="F34" s="481">
        <v>7404.4</v>
      </c>
      <c r="G34" s="331">
        <v>7404.4</v>
      </c>
      <c r="H34" s="825">
        <f t="shared" si="0"/>
        <v>0</v>
      </c>
      <c r="I34" s="825">
        <f t="shared" si="1"/>
        <v>0</v>
      </c>
    </row>
    <row r="35" spans="1:11" ht="45.75" customHeight="1">
      <c r="A35" s="309">
        <v>934</v>
      </c>
      <c r="B35" s="632" t="s">
        <v>657</v>
      </c>
      <c r="C35" s="308" t="s">
        <v>789</v>
      </c>
      <c r="D35" s="481">
        <v>7519.6</v>
      </c>
      <c r="E35" s="331">
        <v>7519.6</v>
      </c>
      <c r="F35" s="481">
        <v>7519.6</v>
      </c>
      <c r="G35" s="331">
        <v>7519.6</v>
      </c>
      <c r="H35" s="825">
        <f t="shared" si="0"/>
        <v>0</v>
      </c>
      <c r="I35" s="825">
        <f t="shared" si="1"/>
        <v>0</v>
      </c>
    </row>
    <row r="36" spans="1:11" ht="52.5" customHeight="1">
      <c r="A36" s="309">
        <v>934</v>
      </c>
      <c r="B36" s="632" t="s">
        <v>667</v>
      </c>
      <c r="C36" s="310" t="s">
        <v>787</v>
      </c>
      <c r="D36" s="331">
        <v>2247.6999999999998</v>
      </c>
      <c r="E36" s="331">
        <v>2369.6999999999998</v>
      </c>
      <c r="F36" s="331">
        <v>2340.6</v>
      </c>
      <c r="G36" s="331">
        <v>0</v>
      </c>
      <c r="H36" s="825">
        <f t="shared" si="0"/>
        <v>-92.900000000000091</v>
      </c>
      <c r="I36" s="825">
        <f t="shared" si="1"/>
        <v>2369.6999999999998</v>
      </c>
      <c r="J36" t="s">
        <v>1211</v>
      </c>
    </row>
    <row r="37" spans="1:11" ht="51" hidden="1" customHeight="1">
      <c r="A37" s="306">
        <v>936</v>
      </c>
      <c r="B37" s="315" t="s">
        <v>657</v>
      </c>
      <c r="C37" s="308" t="s">
        <v>790</v>
      </c>
      <c r="D37" s="331"/>
      <c r="E37" s="331"/>
      <c r="F37" s="331">
        <v>618.6</v>
      </c>
      <c r="G37" s="331">
        <v>618.6</v>
      </c>
      <c r="H37" s="825">
        <f t="shared" si="0"/>
        <v>-618.6</v>
      </c>
      <c r="I37" s="825">
        <f t="shared" si="1"/>
        <v>-618.6</v>
      </c>
    </row>
    <row r="38" spans="1:11" ht="51" customHeight="1">
      <c r="A38" s="309">
        <v>934</v>
      </c>
      <c r="B38" s="632" t="s">
        <v>657</v>
      </c>
      <c r="C38" s="310" t="s">
        <v>801</v>
      </c>
      <c r="D38" s="331">
        <v>21600</v>
      </c>
      <c r="E38" s="331">
        <v>23072</v>
      </c>
      <c r="F38" s="331">
        <v>21600</v>
      </c>
      <c r="G38" s="331">
        <v>0</v>
      </c>
      <c r="H38" s="825">
        <f t="shared" si="0"/>
        <v>0</v>
      </c>
      <c r="I38" s="825">
        <f t="shared" si="1"/>
        <v>23072</v>
      </c>
      <c r="J38" t="s">
        <v>864</v>
      </c>
      <c r="K38" t="s">
        <v>1213</v>
      </c>
    </row>
    <row r="39" spans="1:11" ht="88.5" customHeight="1">
      <c r="A39" s="309">
        <v>937</v>
      </c>
      <c r="B39" s="632" t="s">
        <v>657</v>
      </c>
      <c r="C39" s="308" t="s">
        <v>863</v>
      </c>
      <c r="D39" s="331">
        <v>44090.7</v>
      </c>
      <c r="E39" s="331">
        <v>0</v>
      </c>
      <c r="F39" s="331">
        <v>95076.1</v>
      </c>
      <c r="G39" s="331">
        <v>0</v>
      </c>
      <c r="H39" s="825">
        <f t="shared" si="0"/>
        <v>-50985.400000000009</v>
      </c>
      <c r="I39" s="825">
        <f t="shared" si="1"/>
        <v>0</v>
      </c>
      <c r="J39" t="s">
        <v>1214</v>
      </c>
    </row>
    <row r="40" spans="1:11" ht="47.25">
      <c r="A40" s="303">
        <v>0</v>
      </c>
      <c r="B40" s="304" t="s">
        <v>500</v>
      </c>
      <c r="C40" s="319" t="s">
        <v>238</v>
      </c>
      <c r="D40" s="332">
        <f>SUM(D41:D62)</f>
        <v>340510</v>
      </c>
      <c r="E40" s="332">
        <f>SUM(E41:E62)</f>
        <v>340698.4</v>
      </c>
      <c r="F40" s="332">
        <f>SUM(F41:F62)</f>
        <v>337645.60000000003</v>
      </c>
      <c r="G40" s="332">
        <f>SUM(G41:G62)</f>
        <v>337824.5</v>
      </c>
      <c r="H40" s="825">
        <f t="shared" si="0"/>
        <v>2864.3999999999651</v>
      </c>
      <c r="I40" s="825">
        <f t="shared" si="1"/>
        <v>2873.9000000000233</v>
      </c>
    </row>
    <row r="41" spans="1:11" ht="110.25">
      <c r="A41" s="306">
        <v>936</v>
      </c>
      <c r="B41" s="307" t="s">
        <v>490</v>
      </c>
      <c r="C41" s="316" t="s">
        <v>627</v>
      </c>
      <c r="D41" s="601">
        <v>5692.5</v>
      </c>
      <c r="E41" s="601">
        <v>5670.7</v>
      </c>
      <c r="F41" s="601">
        <v>5692.5</v>
      </c>
      <c r="G41" s="601">
        <v>5670.7</v>
      </c>
      <c r="H41" s="825">
        <f t="shared" si="0"/>
        <v>0</v>
      </c>
      <c r="I41" s="825">
        <f t="shared" si="1"/>
        <v>0</v>
      </c>
    </row>
    <row r="42" spans="1:11" ht="63">
      <c r="A42" s="309">
        <v>934</v>
      </c>
      <c r="B42" s="410" t="s">
        <v>488</v>
      </c>
      <c r="C42" s="419" t="s">
        <v>626</v>
      </c>
      <c r="D42" s="601">
        <v>171.2</v>
      </c>
      <c r="E42" s="601">
        <v>9.6999999999999993</v>
      </c>
      <c r="F42" s="601">
        <v>171.3</v>
      </c>
      <c r="G42" s="601">
        <v>0</v>
      </c>
      <c r="H42" s="825">
        <f t="shared" si="0"/>
        <v>-0.10000000000002274</v>
      </c>
      <c r="I42" s="825">
        <f t="shared" si="1"/>
        <v>9.6999999999999993</v>
      </c>
      <c r="J42" t="s">
        <v>921</v>
      </c>
    </row>
    <row r="43" spans="1:11" ht="64.5" customHeight="1">
      <c r="A43" s="306">
        <v>934</v>
      </c>
      <c r="B43" s="307" t="s">
        <v>482</v>
      </c>
      <c r="C43" s="317" t="s">
        <v>759</v>
      </c>
      <c r="D43" s="601">
        <v>320.60000000000002</v>
      </c>
      <c r="E43" s="601">
        <v>320.60000000000002</v>
      </c>
      <c r="F43" s="601">
        <v>320.60000000000002</v>
      </c>
      <c r="G43" s="601">
        <v>320.60000000000002</v>
      </c>
      <c r="H43" s="825">
        <f t="shared" si="0"/>
        <v>0</v>
      </c>
      <c r="I43" s="825">
        <f t="shared" si="1"/>
        <v>0</v>
      </c>
    </row>
    <row r="44" spans="1:11" ht="63">
      <c r="A44" s="306">
        <v>934</v>
      </c>
      <c r="B44" s="307" t="s">
        <v>482</v>
      </c>
      <c r="C44" s="317" t="s">
        <v>759</v>
      </c>
      <c r="D44" s="601">
        <v>1.3</v>
      </c>
      <c r="E44" s="601">
        <v>1.3</v>
      </c>
      <c r="F44" s="601">
        <v>1.3</v>
      </c>
      <c r="G44" s="601">
        <v>1.3</v>
      </c>
      <c r="H44" s="825">
        <f t="shared" si="0"/>
        <v>0</v>
      </c>
      <c r="I44" s="825">
        <f t="shared" si="1"/>
        <v>0</v>
      </c>
    </row>
    <row r="45" spans="1:11" ht="66.75" customHeight="1">
      <c r="A45" s="306">
        <v>931</v>
      </c>
      <c r="B45" s="307" t="s">
        <v>482</v>
      </c>
      <c r="C45" s="320" t="s">
        <v>629</v>
      </c>
      <c r="D45" s="633">
        <v>92</v>
      </c>
      <c r="E45" s="601">
        <v>95.7</v>
      </c>
      <c r="F45" s="633">
        <v>92</v>
      </c>
      <c r="G45" s="601">
        <v>95.7</v>
      </c>
      <c r="H45" s="825">
        <f t="shared" si="0"/>
        <v>0</v>
      </c>
      <c r="I45" s="825">
        <f t="shared" si="1"/>
        <v>0</v>
      </c>
    </row>
    <row r="46" spans="1:11" ht="315">
      <c r="A46" s="306">
        <v>934</v>
      </c>
      <c r="B46" s="307" t="s">
        <v>482</v>
      </c>
      <c r="C46" s="308" t="s">
        <v>808</v>
      </c>
      <c r="D46" s="601">
        <f>587+183.3</f>
        <v>770.3</v>
      </c>
      <c r="E46" s="601">
        <f>587+183.3</f>
        <v>770.3</v>
      </c>
      <c r="F46" s="601">
        <v>587</v>
      </c>
      <c r="G46" s="601">
        <v>587</v>
      </c>
      <c r="H46" s="825">
        <f t="shared" si="0"/>
        <v>183.29999999999995</v>
      </c>
      <c r="I46" s="825">
        <f t="shared" si="1"/>
        <v>183.29999999999995</v>
      </c>
    </row>
    <row r="47" spans="1:11" ht="103.5" customHeight="1">
      <c r="A47" s="306">
        <v>934</v>
      </c>
      <c r="B47" s="307" t="s">
        <v>482</v>
      </c>
      <c r="C47" s="308" t="s">
        <v>630</v>
      </c>
      <c r="D47" s="601">
        <v>2.9</v>
      </c>
      <c r="E47" s="601">
        <v>2.9</v>
      </c>
      <c r="F47" s="601">
        <v>2.9</v>
      </c>
      <c r="G47" s="601">
        <v>2.9</v>
      </c>
      <c r="H47" s="825">
        <f t="shared" si="0"/>
        <v>0</v>
      </c>
      <c r="I47" s="825">
        <f t="shared" si="1"/>
        <v>0</v>
      </c>
    </row>
    <row r="48" spans="1:11" ht="69" customHeight="1">
      <c r="A48" s="306">
        <v>934</v>
      </c>
      <c r="B48" s="307" t="s">
        <v>482</v>
      </c>
      <c r="C48" s="308" t="s">
        <v>631</v>
      </c>
      <c r="D48" s="601">
        <v>1674.6</v>
      </c>
      <c r="E48" s="601">
        <v>1674.6</v>
      </c>
      <c r="F48" s="601">
        <v>1674.6</v>
      </c>
      <c r="G48" s="601">
        <v>1674.6</v>
      </c>
      <c r="H48" s="825">
        <f t="shared" si="0"/>
        <v>0</v>
      </c>
      <c r="I48" s="825">
        <f t="shared" si="1"/>
        <v>0</v>
      </c>
    </row>
    <row r="49" spans="1:9" ht="67.5" customHeight="1">
      <c r="A49" s="306">
        <v>934</v>
      </c>
      <c r="B49" s="307" t="s">
        <v>482</v>
      </c>
      <c r="C49" s="308" t="s">
        <v>760</v>
      </c>
      <c r="D49" s="601">
        <v>25.1</v>
      </c>
      <c r="E49" s="601">
        <v>25.1</v>
      </c>
      <c r="F49" s="601">
        <v>25.1</v>
      </c>
      <c r="G49" s="601">
        <v>25.1</v>
      </c>
      <c r="H49" s="825">
        <f t="shared" si="0"/>
        <v>0</v>
      </c>
      <c r="I49" s="825">
        <f t="shared" si="1"/>
        <v>0</v>
      </c>
    </row>
    <row r="50" spans="1:9" ht="63">
      <c r="A50" s="306">
        <v>934</v>
      </c>
      <c r="B50" s="307" t="s">
        <v>482</v>
      </c>
      <c r="C50" s="308" t="s">
        <v>633</v>
      </c>
      <c r="D50" s="601">
        <v>273.2</v>
      </c>
      <c r="E50" s="601">
        <v>273.2</v>
      </c>
      <c r="F50" s="601">
        <v>273.2</v>
      </c>
      <c r="G50" s="601">
        <v>273.2</v>
      </c>
      <c r="H50" s="825">
        <f t="shared" si="0"/>
        <v>0</v>
      </c>
      <c r="I50" s="825">
        <f t="shared" si="1"/>
        <v>0</v>
      </c>
    </row>
    <row r="51" spans="1:9" ht="78.75">
      <c r="A51" s="306">
        <v>934</v>
      </c>
      <c r="B51" s="307" t="s">
        <v>482</v>
      </c>
      <c r="C51" s="308" t="s">
        <v>758</v>
      </c>
      <c r="D51" s="601">
        <v>1343.7</v>
      </c>
      <c r="E51" s="601">
        <v>1343.7</v>
      </c>
      <c r="F51" s="601">
        <v>1343.7</v>
      </c>
      <c r="G51" s="601">
        <v>1343.7</v>
      </c>
      <c r="H51" s="825">
        <f t="shared" si="0"/>
        <v>0</v>
      </c>
      <c r="I51" s="825">
        <f t="shared" si="1"/>
        <v>0</v>
      </c>
    </row>
    <row r="52" spans="1:9" ht="69" customHeight="1">
      <c r="A52" s="306">
        <v>934</v>
      </c>
      <c r="B52" s="307" t="s">
        <v>482</v>
      </c>
      <c r="C52" s="308" t="s">
        <v>635</v>
      </c>
      <c r="D52" s="601">
        <v>175.7</v>
      </c>
      <c r="E52" s="601">
        <v>175.7</v>
      </c>
      <c r="F52" s="601">
        <v>175.7</v>
      </c>
      <c r="G52" s="601">
        <v>175.7</v>
      </c>
      <c r="H52" s="825">
        <f t="shared" si="0"/>
        <v>0</v>
      </c>
      <c r="I52" s="825">
        <f t="shared" si="1"/>
        <v>0</v>
      </c>
    </row>
    <row r="53" spans="1:9" ht="69" customHeight="1">
      <c r="A53" s="306">
        <v>934</v>
      </c>
      <c r="B53" s="307" t="s">
        <v>482</v>
      </c>
      <c r="C53" s="308" t="s">
        <v>757</v>
      </c>
      <c r="D53" s="601">
        <v>870.6</v>
      </c>
      <c r="E53" s="601">
        <v>870.6</v>
      </c>
      <c r="F53" s="601">
        <v>870.6</v>
      </c>
      <c r="G53" s="601">
        <v>870.6</v>
      </c>
      <c r="H53" s="825">
        <f t="shared" si="0"/>
        <v>0</v>
      </c>
      <c r="I53" s="825">
        <f t="shared" si="1"/>
        <v>0</v>
      </c>
    </row>
    <row r="54" spans="1:9" ht="84.75" customHeight="1">
      <c r="A54" s="306">
        <v>934</v>
      </c>
      <c r="B54" s="307" t="s">
        <v>482</v>
      </c>
      <c r="C54" s="308" t="s">
        <v>756</v>
      </c>
      <c r="D54" s="601">
        <v>1343.7</v>
      </c>
      <c r="E54" s="601">
        <v>1343.7</v>
      </c>
      <c r="F54" s="601">
        <v>1343.7</v>
      </c>
      <c r="G54" s="601">
        <v>1343.7</v>
      </c>
      <c r="H54" s="825">
        <f t="shared" si="0"/>
        <v>0</v>
      </c>
      <c r="I54" s="825">
        <f t="shared" si="1"/>
        <v>0</v>
      </c>
    </row>
    <row r="55" spans="1:9" ht="141.75">
      <c r="A55" s="306">
        <v>936</v>
      </c>
      <c r="B55" s="307" t="s">
        <v>482</v>
      </c>
      <c r="C55" s="308" t="s">
        <v>865</v>
      </c>
      <c r="D55" s="601">
        <v>85.4</v>
      </c>
      <c r="E55" s="601">
        <v>85.1</v>
      </c>
      <c r="F55" s="601">
        <v>84.1</v>
      </c>
      <c r="G55" s="601">
        <v>84.1</v>
      </c>
      <c r="H55" s="825">
        <f t="shared" si="0"/>
        <v>1.3000000000000114</v>
      </c>
      <c r="I55" s="825">
        <f t="shared" si="1"/>
        <v>1</v>
      </c>
    </row>
    <row r="56" spans="1:9" ht="78.75">
      <c r="A56" s="306">
        <v>936</v>
      </c>
      <c r="B56" s="307" t="s">
        <v>482</v>
      </c>
      <c r="C56" s="308" t="s">
        <v>761</v>
      </c>
      <c r="D56" s="601">
        <v>50.2</v>
      </c>
      <c r="E56" s="601">
        <v>50.2</v>
      </c>
      <c r="F56" s="601">
        <v>50.2</v>
      </c>
      <c r="G56" s="601">
        <v>50.2</v>
      </c>
      <c r="H56" s="825">
        <f t="shared" si="0"/>
        <v>0</v>
      </c>
      <c r="I56" s="825">
        <f t="shared" si="1"/>
        <v>0</v>
      </c>
    </row>
    <row r="57" spans="1:9" ht="110.25">
      <c r="A57" s="306">
        <v>936</v>
      </c>
      <c r="B57" s="307" t="s">
        <v>482</v>
      </c>
      <c r="C57" s="316" t="s">
        <v>638</v>
      </c>
      <c r="D57" s="601">
        <v>242687.3</v>
      </c>
      <c r="E57" s="601">
        <v>242687.3</v>
      </c>
      <c r="F57" s="601">
        <v>240007.4</v>
      </c>
      <c r="G57" s="601">
        <v>240007.4</v>
      </c>
      <c r="H57" s="825">
        <f t="shared" si="0"/>
        <v>2679.8999999999942</v>
      </c>
      <c r="I57" s="825">
        <f t="shared" si="1"/>
        <v>2679.8999999999942</v>
      </c>
    </row>
    <row r="58" spans="1:9" ht="115.5" customHeight="1">
      <c r="A58" s="306">
        <v>936</v>
      </c>
      <c r="B58" s="307" t="s">
        <v>482</v>
      </c>
      <c r="C58" s="308" t="s">
        <v>808</v>
      </c>
      <c r="D58" s="601">
        <v>3459.5</v>
      </c>
      <c r="E58" s="601">
        <v>3459.5</v>
      </c>
      <c r="F58" s="601">
        <v>3459.5</v>
      </c>
      <c r="G58" s="601">
        <v>3459.5</v>
      </c>
      <c r="H58" s="825">
        <f t="shared" si="0"/>
        <v>0</v>
      </c>
      <c r="I58" s="825">
        <f t="shared" si="1"/>
        <v>0</v>
      </c>
    </row>
    <row r="59" spans="1:9" ht="59.25" customHeight="1">
      <c r="A59" s="306">
        <v>936</v>
      </c>
      <c r="B59" s="307" t="s">
        <v>482</v>
      </c>
      <c r="C59" s="316" t="s">
        <v>639</v>
      </c>
      <c r="D59" s="601">
        <v>74044.800000000003</v>
      </c>
      <c r="E59" s="601">
        <v>74413.100000000006</v>
      </c>
      <c r="F59" s="601">
        <v>74044.800000000003</v>
      </c>
      <c r="G59" s="601">
        <v>74413.100000000006</v>
      </c>
      <c r="H59" s="825">
        <f t="shared" si="0"/>
        <v>0</v>
      </c>
      <c r="I59" s="825">
        <f t="shared" si="1"/>
        <v>0</v>
      </c>
    </row>
    <row r="60" spans="1:9" ht="47.25">
      <c r="A60" s="315">
        <v>936</v>
      </c>
      <c r="B60" s="307" t="s">
        <v>491</v>
      </c>
      <c r="C60" s="316" t="s">
        <v>640</v>
      </c>
      <c r="D60" s="601">
        <v>3714.7</v>
      </c>
      <c r="E60" s="601">
        <v>3714.7</v>
      </c>
      <c r="F60" s="601">
        <v>3714.7</v>
      </c>
      <c r="G60" s="601">
        <v>3714.7</v>
      </c>
      <c r="H60" s="825">
        <f t="shared" si="0"/>
        <v>0</v>
      </c>
      <c r="I60" s="825">
        <f t="shared" si="1"/>
        <v>0</v>
      </c>
    </row>
    <row r="61" spans="1:9" ht="47.25">
      <c r="A61" s="315">
        <v>936</v>
      </c>
      <c r="B61" s="307" t="s">
        <v>491</v>
      </c>
      <c r="C61" s="316" t="s">
        <v>641</v>
      </c>
      <c r="D61" s="601">
        <v>55.7</v>
      </c>
      <c r="E61" s="601">
        <v>55.7</v>
      </c>
      <c r="F61" s="601">
        <v>55.7</v>
      </c>
      <c r="G61" s="601">
        <v>55.7</v>
      </c>
      <c r="H61" s="825">
        <f t="shared" si="0"/>
        <v>0</v>
      </c>
      <c r="I61" s="825">
        <f t="shared" si="1"/>
        <v>0</v>
      </c>
    </row>
    <row r="62" spans="1:9" ht="173.25">
      <c r="A62" s="306">
        <v>936</v>
      </c>
      <c r="B62" s="307" t="s">
        <v>491</v>
      </c>
      <c r="C62" s="318" t="s">
        <v>642</v>
      </c>
      <c r="D62" s="601">
        <v>3655</v>
      </c>
      <c r="E62" s="601">
        <v>3655</v>
      </c>
      <c r="F62" s="601">
        <v>3655</v>
      </c>
      <c r="G62" s="601">
        <v>3655</v>
      </c>
      <c r="H62" s="825">
        <f t="shared" si="0"/>
        <v>0</v>
      </c>
      <c r="I62" s="825">
        <f t="shared" si="1"/>
        <v>0</v>
      </c>
    </row>
    <row r="63" spans="1:9" ht="15.75">
      <c r="A63" s="303">
        <v>0</v>
      </c>
      <c r="B63" s="304" t="s">
        <v>501</v>
      </c>
      <c r="C63" s="321" t="s">
        <v>239</v>
      </c>
      <c r="D63" s="329">
        <f>SUM(D64:D65)</f>
        <v>39697.799999999996</v>
      </c>
      <c r="E63" s="329">
        <f>SUM(E64:E65)</f>
        <v>39697.799999999996</v>
      </c>
      <c r="F63" s="329">
        <f>SUM(F64:F65)</f>
        <v>39230.699999999997</v>
      </c>
      <c r="G63" s="329">
        <f>SUM(G64:G65)</f>
        <v>4662.6000000000004</v>
      </c>
      <c r="H63" s="825">
        <f t="shared" si="0"/>
        <v>467.09999999999854</v>
      </c>
      <c r="I63" s="825">
        <f t="shared" si="1"/>
        <v>35035.199999999997</v>
      </c>
    </row>
    <row r="64" spans="1:9" ht="78.75">
      <c r="A64" s="306">
        <v>931</v>
      </c>
      <c r="B64" s="307" t="s">
        <v>483</v>
      </c>
      <c r="C64" s="318" t="s">
        <v>194</v>
      </c>
      <c r="D64" s="434">
        <v>4662.6000000000004</v>
      </c>
      <c r="E64" s="434">
        <v>4662.6000000000004</v>
      </c>
      <c r="F64" s="434">
        <v>4662.6000000000004</v>
      </c>
      <c r="G64" s="434">
        <v>4662.6000000000004</v>
      </c>
      <c r="H64" s="825">
        <f t="shared" si="0"/>
        <v>0</v>
      </c>
      <c r="I64" s="825">
        <f t="shared" si="1"/>
        <v>0</v>
      </c>
    </row>
    <row r="65" spans="1:26" ht="63">
      <c r="A65" s="306">
        <v>936</v>
      </c>
      <c r="B65" s="306" t="s">
        <v>859</v>
      </c>
      <c r="C65" s="310" t="s">
        <v>858</v>
      </c>
      <c r="D65" s="487">
        <v>35035.199999999997</v>
      </c>
      <c r="E65" s="601">
        <v>35035.199999999997</v>
      </c>
      <c r="F65" s="487">
        <v>34568.1</v>
      </c>
      <c r="G65" s="601">
        <v>0</v>
      </c>
      <c r="H65" s="825">
        <f t="shared" ref="H65" si="2">D65-F65</f>
        <v>467.09999999999854</v>
      </c>
      <c r="I65" s="825">
        <f t="shared" ref="I65" si="3">E65-G65</f>
        <v>35035.199999999997</v>
      </c>
      <c r="J65" t="s">
        <v>922</v>
      </c>
    </row>
    <row r="67" spans="1:26">
      <c r="L67" s="877" t="s">
        <v>646</v>
      </c>
      <c r="M67" s="877"/>
      <c r="N67" s="877"/>
      <c r="O67" s="877"/>
      <c r="P67" s="877"/>
      <c r="Q67" s="877"/>
      <c r="R67" s="877"/>
      <c r="T67" s="877" t="s">
        <v>647</v>
      </c>
      <c r="U67" s="877"/>
      <c r="V67" s="877"/>
      <c r="W67" s="877"/>
      <c r="X67" s="877"/>
      <c r="Y67" s="877"/>
      <c r="Z67" s="877"/>
    </row>
    <row r="68" spans="1:26">
      <c r="L68" s="878"/>
      <c r="M68" s="878"/>
      <c r="N68" s="878"/>
      <c r="O68" s="878"/>
      <c r="P68" s="878"/>
      <c r="Q68" s="878"/>
      <c r="R68" s="878"/>
      <c r="T68" s="878"/>
      <c r="U68" s="878"/>
      <c r="V68" s="878"/>
      <c r="W68" s="878"/>
      <c r="X68" s="878"/>
      <c r="Y68" s="878"/>
      <c r="Z68" s="878"/>
    </row>
    <row r="69" spans="1:26" ht="31.5">
      <c r="L69" s="322" t="s">
        <v>46</v>
      </c>
      <c r="M69" s="322" t="s">
        <v>45</v>
      </c>
      <c r="N69" s="322" t="s">
        <v>605</v>
      </c>
      <c r="O69" s="323" t="s">
        <v>449</v>
      </c>
      <c r="P69" s="324" t="s">
        <v>450</v>
      </c>
      <c r="Q69" s="324" t="s">
        <v>124</v>
      </c>
      <c r="R69" s="324" t="s">
        <v>260</v>
      </c>
      <c r="T69" s="322" t="s">
        <v>46</v>
      </c>
      <c r="U69" s="322" t="s">
        <v>45</v>
      </c>
      <c r="V69" s="322" t="s">
        <v>605</v>
      </c>
      <c r="W69" s="323" t="s">
        <v>449</v>
      </c>
      <c r="X69" s="324" t="s">
        <v>450</v>
      </c>
      <c r="Y69" s="324" t="s">
        <v>124</v>
      </c>
      <c r="Z69" s="324" t="s">
        <v>260</v>
      </c>
    </row>
    <row r="70" spans="1:26" ht="15.75">
      <c r="L70" s="325">
        <v>1</v>
      </c>
      <c r="M70" s="325">
        <v>2</v>
      </c>
      <c r="N70" s="325">
        <v>3</v>
      </c>
      <c r="O70" s="325">
        <v>4</v>
      </c>
      <c r="P70" s="325">
        <v>5</v>
      </c>
      <c r="Q70" s="325">
        <v>6</v>
      </c>
      <c r="R70" s="325">
        <v>7</v>
      </c>
      <c r="T70" s="325">
        <v>1</v>
      </c>
      <c r="U70" s="325">
        <v>2</v>
      </c>
      <c r="V70" s="325">
        <v>3</v>
      </c>
      <c r="W70" s="325">
        <v>4</v>
      </c>
      <c r="X70" s="325">
        <v>5</v>
      </c>
      <c r="Y70" s="325">
        <v>6</v>
      </c>
      <c r="Z70" s="325">
        <v>7</v>
      </c>
    </row>
    <row r="71" spans="1:26" ht="15.75">
      <c r="L71" s="326">
        <v>1</v>
      </c>
      <c r="M71" s="326" t="s">
        <v>244</v>
      </c>
      <c r="N71" s="326"/>
      <c r="O71" s="435">
        <v>13.3</v>
      </c>
      <c r="P71" s="387">
        <v>190.8</v>
      </c>
      <c r="Q71" s="387">
        <v>19.625</v>
      </c>
      <c r="R71" s="436">
        <f>O71+P71+Q71+N71</f>
        <v>223.72500000000002</v>
      </c>
      <c r="T71" s="326">
        <v>1</v>
      </c>
      <c r="U71" s="326" t="s">
        <v>244</v>
      </c>
      <c r="V71" s="326"/>
      <c r="W71" s="435">
        <v>14.5</v>
      </c>
      <c r="X71" s="387">
        <v>190.8</v>
      </c>
      <c r="Y71" s="387">
        <v>19.625</v>
      </c>
      <c r="Z71" s="436">
        <f>W71+X71+Y71+V71</f>
        <v>224.92500000000001</v>
      </c>
    </row>
    <row r="72" spans="1:26" ht="15.75">
      <c r="L72" s="326">
        <v>2</v>
      </c>
      <c r="M72" s="326" t="s">
        <v>245</v>
      </c>
      <c r="N72" s="326"/>
      <c r="O72" s="435">
        <v>31.4</v>
      </c>
      <c r="P72" s="387">
        <v>190.8</v>
      </c>
      <c r="Q72" s="387">
        <v>19.625</v>
      </c>
      <c r="R72" s="436">
        <f t="shared" ref="R72:R86" si="4">O72+P72+Q72+N72</f>
        <v>241.82500000000002</v>
      </c>
      <c r="T72" s="326">
        <v>2</v>
      </c>
      <c r="U72" s="326" t="s">
        <v>245</v>
      </c>
      <c r="V72" s="326"/>
      <c r="W72" s="435">
        <v>34.299999999999997</v>
      </c>
      <c r="X72" s="387">
        <v>190.8</v>
      </c>
      <c r="Y72" s="387">
        <v>19.625</v>
      </c>
      <c r="Z72" s="436">
        <f t="shared" ref="Z72:Z86" si="5">W72+X72+Y72+V72</f>
        <v>244.72500000000002</v>
      </c>
    </row>
    <row r="73" spans="1:26" ht="15.75">
      <c r="L73" s="326">
        <v>3</v>
      </c>
      <c r="M73" s="326" t="s">
        <v>246</v>
      </c>
      <c r="N73" s="326"/>
      <c r="O73" s="435">
        <v>15.5</v>
      </c>
      <c r="P73" s="387">
        <v>190.8</v>
      </c>
      <c r="Q73" s="387">
        <v>19.625</v>
      </c>
      <c r="R73" s="436">
        <f t="shared" si="4"/>
        <v>225.92500000000001</v>
      </c>
      <c r="T73" s="326">
        <v>3</v>
      </c>
      <c r="U73" s="326" t="s">
        <v>246</v>
      </c>
      <c r="V73" s="326"/>
      <c r="W73" s="435">
        <v>16.899999999999999</v>
      </c>
      <c r="X73" s="387">
        <v>190.8</v>
      </c>
      <c r="Y73" s="387">
        <v>19.625</v>
      </c>
      <c r="Z73" s="436">
        <f t="shared" si="5"/>
        <v>227.32500000000002</v>
      </c>
    </row>
    <row r="74" spans="1:26" ht="15.75">
      <c r="L74" s="326">
        <v>4</v>
      </c>
      <c r="M74" s="326" t="s">
        <v>247</v>
      </c>
      <c r="N74" s="326"/>
      <c r="O74" s="435">
        <v>10</v>
      </c>
      <c r="P74" s="387">
        <v>190.8</v>
      </c>
      <c r="Q74" s="565">
        <v>19.625</v>
      </c>
      <c r="R74" s="436">
        <f t="shared" si="4"/>
        <v>220.42500000000001</v>
      </c>
      <c r="T74" s="326">
        <v>4</v>
      </c>
      <c r="U74" s="326" t="s">
        <v>247</v>
      </c>
      <c r="V74" s="326"/>
      <c r="W74" s="435">
        <v>10.9</v>
      </c>
      <c r="X74" s="387">
        <v>190.8</v>
      </c>
      <c r="Y74" s="565">
        <v>19.625</v>
      </c>
      <c r="Z74" s="436">
        <f t="shared" si="5"/>
        <v>221.32500000000002</v>
      </c>
    </row>
    <row r="75" spans="1:26" ht="15.75">
      <c r="L75" s="326">
        <v>5</v>
      </c>
      <c r="M75" s="326" t="s">
        <v>248</v>
      </c>
      <c r="N75" s="326"/>
      <c r="O75" s="435">
        <v>31</v>
      </c>
      <c r="P75" s="387">
        <v>190.8</v>
      </c>
      <c r="Q75" s="387">
        <v>19.625</v>
      </c>
      <c r="R75" s="436">
        <f t="shared" si="4"/>
        <v>241.42500000000001</v>
      </c>
      <c r="T75" s="326">
        <v>5</v>
      </c>
      <c r="U75" s="326" t="s">
        <v>248</v>
      </c>
      <c r="V75" s="326"/>
      <c r="W75" s="435">
        <v>33.799999999999997</v>
      </c>
      <c r="X75" s="387">
        <v>190.8</v>
      </c>
      <c r="Y75" s="387">
        <v>19.625</v>
      </c>
      <c r="Z75" s="436">
        <f t="shared" si="5"/>
        <v>244.22500000000002</v>
      </c>
    </row>
    <row r="76" spans="1:26" ht="15.75">
      <c r="L76" s="327">
        <v>6</v>
      </c>
      <c r="M76" s="327" t="s">
        <v>249</v>
      </c>
      <c r="N76" s="327"/>
      <c r="O76" s="435">
        <v>11.8</v>
      </c>
      <c r="P76" s="387">
        <v>190.8</v>
      </c>
      <c r="Q76" s="387">
        <v>19.625</v>
      </c>
      <c r="R76" s="436">
        <f t="shared" si="4"/>
        <v>222.22500000000002</v>
      </c>
      <c r="T76" s="327">
        <v>6</v>
      </c>
      <c r="U76" s="327" t="s">
        <v>249</v>
      </c>
      <c r="V76" s="327"/>
      <c r="W76" s="435">
        <v>12.8</v>
      </c>
      <c r="X76" s="387">
        <v>190.8</v>
      </c>
      <c r="Y76" s="387">
        <v>19.625</v>
      </c>
      <c r="Z76" s="436">
        <f t="shared" si="5"/>
        <v>223.22500000000002</v>
      </c>
    </row>
    <row r="77" spans="1:26" ht="15.75">
      <c r="L77" s="327">
        <v>7</v>
      </c>
      <c r="M77" s="327" t="s">
        <v>250</v>
      </c>
      <c r="N77" s="327"/>
      <c r="O77" s="435">
        <v>9.5</v>
      </c>
      <c r="P77" s="387">
        <v>190.8</v>
      </c>
      <c r="Q77" s="387">
        <v>19.625</v>
      </c>
      <c r="R77" s="436">
        <f t="shared" si="4"/>
        <v>219.92500000000001</v>
      </c>
      <c r="T77" s="327">
        <v>7</v>
      </c>
      <c r="U77" s="327" t="s">
        <v>250</v>
      </c>
      <c r="V77" s="327"/>
      <c r="W77" s="435">
        <v>10.3</v>
      </c>
      <c r="X77" s="387">
        <v>190.8</v>
      </c>
      <c r="Y77" s="387">
        <v>19.625</v>
      </c>
      <c r="Z77" s="436">
        <f t="shared" si="5"/>
        <v>220.72500000000002</v>
      </c>
    </row>
    <row r="78" spans="1:26" ht="15.75">
      <c r="L78" s="327">
        <v>8</v>
      </c>
      <c r="M78" s="327" t="s">
        <v>252</v>
      </c>
      <c r="N78" s="327"/>
      <c r="O78" s="435">
        <v>8.3000000000000007</v>
      </c>
      <c r="P78" s="387">
        <v>190.8</v>
      </c>
      <c r="Q78" s="387">
        <v>19.625</v>
      </c>
      <c r="R78" s="436">
        <f t="shared" si="4"/>
        <v>218.72500000000002</v>
      </c>
      <c r="T78" s="327">
        <v>8</v>
      </c>
      <c r="U78" s="327" t="s">
        <v>252</v>
      </c>
      <c r="V78" s="327"/>
      <c r="W78" s="435">
        <v>9</v>
      </c>
      <c r="X78" s="387">
        <v>190.8</v>
      </c>
      <c r="Y78" s="387">
        <v>19.625</v>
      </c>
      <c r="Z78" s="436">
        <f t="shared" si="5"/>
        <v>219.42500000000001</v>
      </c>
    </row>
    <row r="79" spans="1:26" ht="15.75">
      <c r="L79" s="327">
        <v>9</v>
      </c>
      <c r="M79" s="327" t="s">
        <v>253</v>
      </c>
      <c r="N79" s="327"/>
      <c r="O79" s="435">
        <v>8.5</v>
      </c>
      <c r="P79" s="387">
        <v>190.8</v>
      </c>
      <c r="Q79" s="387">
        <v>19.625</v>
      </c>
      <c r="R79" s="436">
        <f t="shared" si="4"/>
        <v>218.92500000000001</v>
      </c>
      <c r="T79" s="327">
        <v>9</v>
      </c>
      <c r="U79" s="327" t="s">
        <v>253</v>
      </c>
      <c r="V79" s="327"/>
      <c r="W79" s="435">
        <v>9.3000000000000007</v>
      </c>
      <c r="X79" s="387">
        <v>190.8</v>
      </c>
      <c r="Y79" s="387">
        <v>19.625</v>
      </c>
      <c r="Z79" s="436">
        <f t="shared" si="5"/>
        <v>219.72500000000002</v>
      </c>
    </row>
    <row r="80" spans="1:26" ht="15.75">
      <c r="L80" s="327">
        <v>10</v>
      </c>
      <c r="M80" s="327" t="s">
        <v>251</v>
      </c>
      <c r="N80" s="327"/>
      <c r="O80" s="435">
        <v>23.7</v>
      </c>
      <c r="P80" s="387">
        <v>190.8</v>
      </c>
      <c r="Q80" s="387">
        <v>19.625</v>
      </c>
      <c r="R80" s="436">
        <f t="shared" si="4"/>
        <v>234.125</v>
      </c>
      <c r="T80" s="327">
        <v>10</v>
      </c>
      <c r="U80" s="327" t="s">
        <v>251</v>
      </c>
      <c r="V80" s="327"/>
      <c r="W80" s="435">
        <v>25.8</v>
      </c>
      <c r="X80" s="387">
        <v>190.8</v>
      </c>
      <c r="Y80" s="387">
        <v>19.625</v>
      </c>
      <c r="Z80" s="436">
        <f t="shared" si="5"/>
        <v>236.22500000000002</v>
      </c>
    </row>
    <row r="81" spans="12:26" ht="15.75">
      <c r="L81" s="327">
        <v>11</v>
      </c>
      <c r="M81" s="327" t="s">
        <v>293</v>
      </c>
      <c r="N81" s="327"/>
      <c r="O81" s="435">
        <v>33.5</v>
      </c>
      <c r="P81" s="387">
        <v>190.8</v>
      </c>
      <c r="Q81" s="387">
        <v>19.625</v>
      </c>
      <c r="R81" s="436">
        <f t="shared" si="4"/>
        <v>243.92500000000001</v>
      </c>
      <c r="T81" s="327">
        <v>11</v>
      </c>
      <c r="U81" s="327" t="s">
        <v>293</v>
      </c>
      <c r="V81" s="327"/>
      <c r="W81" s="435">
        <v>36.5</v>
      </c>
      <c r="X81" s="387">
        <v>190.8</v>
      </c>
      <c r="Y81" s="387">
        <v>19.625</v>
      </c>
      <c r="Z81" s="436">
        <f t="shared" si="5"/>
        <v>246.92500000000001</v>
      </c>
    </row>
    <row r="82" spans="12:26" ht="15.75">
      <c r="L82" s="327">
        <v>12</v>
      </c>
      <c r="M82" s="327" t="s">
        <v>254</v>
      </c>
      <c r="N82" s="327"/>
      <c r="O82" s="435">
        <v>40.299999999999997</v>
      </c>
      <c r="P82" s="387">
        <v>190.8</v>
      </c>
      <c r="Q82" s="387">
        <v>19.625</v>
      </c>
      <c r="R82" s="436">
        <f t="shared" si="4"/>
        <v>250.72500000000002</v>
      </c>
      <c r="T82" s="327">
        <v>12</v>
      </c>
      <c r="U82" s="327" t="s">
        <v>254</v>
      </c>
      <c r="V82" s="327"/>
      <c r="W82" s="435">
        <v>4.4000000000000004</v>
      </c>
      <c r="X82" s="387">
        <v>190.8</v>
      </c>
      <c r="Y82" s="387">
        <v>19.625</v>
      </c>
      <c r="Z82" s="436">
        <f t="shared" si="5"/>
        <v>214.82500000000002</v>
      </c>
    </row>
    <row r="83" spans="12:26" ht="15.75">
      <c r="L83" s="327">
        <v>13</v>
      </c>
      <c r="M83" s="327" t="s">
        <v>255</v>
      </c>
      <c r="N83" s="327"/>
      <c r="O83" s="435">
        <v>41.6</v>
      </c>
      <c r="P83" s="387">
        <v>190.8</v>
      </c>
      <c r="Q83" s="387">
        <v>19.625</v>
      </c>
      <c r="R83" s="436">
        <f t="shared" si="4"/>
        <v>252.02500000000001</v>
      </c>
      <c r="T83" s="327">
        <v>13</v>
      </c>
      <c r="U83" s="327" t="s">
        <v>255</v>
      </c>
      <c r="V83" s="327"/>
      <c r="W83" s="435">
        <v>45.4</v>
      </c>
      <c r="X83" s="387">
        <v>190.8</v>
      </c>
      <c r="Y83" s="387">
        <v>19.625</v>
      </c>
      <c r="Z83" s="436">
        <f t="shared" si="5"/>
        <v>255.82500000000002</v>
      </c>
    </row>
    <row r="84" spans="12:26" ht="15.75">
      <c r="L84" s="327">
        <v>14</v>
      </c>
      <c r="M84" s="327" t="s">
        <v>256</v>
      </c>
      <c r="N84" s="327"/>
      <c r="O84" s="435">
        <v>15.1</v>
      </c>
      <c r="P84" s="387">
        <v>190.8</v>
      </c>
      <c r="Q84" s="387">
        <v>19.625</v>
      </c>
      <c r="R84" s="436">
        <f t="shared" si="4"/>
        <v>225.52500000000001</v>
      </c>
      <c r="T84" s="327">
        <v>14</v>
      </c>
      <c r="U84" s="327" t="s">
        <v>256</v>
      </c>
      <c r="V84" s="327"/>
      <c r="W84" s="435">
        <v>16.5</v>
      </c>
      <c r="X84" s="387">
        <v>190.8</v>
      </c>
      <c r="Y84" s="387">
        <v>19.625</v>
      </c>
      <c r="Z84" s="436">
        <f t="shared" si="5"/>
        <v>226.92500000000001</v>
      </c>
    </row>
    <row r="85" spans="12:26" ht="15.75">
      <c r="L85" s="327">
        <v>15</v>
      </c>
      <c r="M85" s="327" t="s">
        <v>257</v>
      </c>
      <c r="N85" s="327"/>
      <c r="O85" s="435">
        <v>17.899999999999999</v>
      </c>
      <c r="P85" s="387">
        <v>190.8</v>
      </c>
      <c r="Q85" s="387">
        <v>19.625</v>
      </c>
      <c r="R85" s="436">
        <f t="shared" si="4"/>
        <v>228.32500000000002</v>
      </c>
      <c r="T85" s="327">
        <v>15</v>
      </c>
      <c r="U85" s="327" t="s">
        <v>257</v>
      </c>
      <c r="V85" s="327"/>
      <c r="W85" s="435">
        <v>19.600000000000001</v>
      </c>
      <c r="X85" s="387">
        <v>190.8</v>
      </c>
      <c r="Y85" s="387">
        <v>19.625</v>
      </c>
      <c r="Z85" s="436">
        <f t="shared" si="5"/>
        <v>230.02500000000001</v>
      </c>
    </row>
    <row r="86" spans="12:26" ht="15.75">
      <c r="L86" s="327">
        <v>16</v>
      </c>
      <c r="M86" s="327" t="s">
        <v>258</v>
      </c>
      <c r="N86" s="327"/>
      <c r="O86" s="437">
        <v>63.5</v>
      </c>
      <c r="P86" s="387">
        <v>190.8</v>
      </c>
      <c r="Q86" s="387">
        <v>19.625</v>
      </c>
      <c r="R86" s="436">
        <f t="shared" si="4"/>
        <v>273.92500000000001</v>
      </c>
      <c r="T86" s="327">
        <v>16</v>
      </c>
      <c r="U86" s="327" t="s">
        <v>258</v>
      </c>
      <c r="V86" s="327"/>
      <c r="W86" s="437">
        <v>69.3</v>
      </c>
      <c r="X86" s="387">
        <v>190.8</v>
      </c>
      <c r="Y86" s="387">
        <v>19.625</v>
      </c>
      <c r="Z86" s="436">
        <f t="shared" si="5"/>
        <v>279.72500000000002</v>
      </c>
    </row>
    <row r="87" spans="12:26" ht="15.75">
      <c r="L87" s="327">
        <v>17</v>
      </c>
      <c r="M87" s="327" t="s">
        <v>259</v>
      </c>
      <c r="N87" s="327"/>
      <c r="O87" s="509">
        <v>441.7</v>
      </c>
      <c r="P87" s="387"/>
      <c r="Q87" s="387">
        <v>36</v>
      </c>
      <c r="R87" s="242"/>
      <c r="T87" s="327">
        <v>17</v>
      </c>
      <c r="U87" s="327" t="s">
        <v>259</v>
      </c>
      <c r="V87" s="327"/>
      <c r="W87" s="509">
        <v>481.8</v>
      </c>
      <c r="X87" s="387"/>
      <c r="Y87" s="387">
        <v>36</v>
      </c>
      <c r="Z87" s="242"/>
    </row>
    <row r="88" spans="12:26" ht="15.75">
      <c r="L88" s="328"/>
      <c r="M88" s="328" t="s">
        <v>260</v>
      </c>
      <c r="N88" s="385">
        <f>SUM(N71:N87)</f>
        <v>0</v>
      </c>
      <c r="O88" s="385">
        <f>SUM(O71:O87)</f>
        <v>816.6</v>
      </c>
      <c r="P88" s="385">
        <f>SUM(P71:P87)</f>
        <v>3052.8000000000006</v>
      </c>
      <c r="Q88" s="385">
        <f>SUM(Q71:Q87)</f>
        <v>350</v>
      </c>
      <c r="R88" s="429">
        <f>O88+P88+Q88+N88</f>
        <v>4219.4000000000005</v>
      </c>
      <c r="T88" s="328"/>
      <c r="U88" s="328" t="s">
        <v>260</v>
      </c>
      <c r="V88" s="385">
        <f>SUM(V71:V87)</f>
        <v>0</v>
      </c>
      <c r="W88" s="385">
        <f>SUM(W71:W87)</f>
        <v>851.10000000000014</v>
      </c>
      <c r="X88" s="385">
        <f>SUM(X71:X87)</f>
        <v>3052.8000000000006</v>
      </c>
      <c r="Y88" s="385">
        <f>SUM(Y71:Y87)</f>
        <v>350</v>
      </c>
      <c r="Z88" s="429">
        <f>W88+X88+Y88+V88</f>
        <v>4253.9000000000005</v>
      </c>
    </row>
  </sheetData>
  <autoFilter ref="A10:I64"/>
  <mergeCells count="12">
    <mergeCell ref="L67:R68"/>
    <mergeCell ref="T67:Z68"/>
    <mergeCell ref="E10:E11"/>
    <mergeCell ref="F10:F11"/>
    <mergeCell ref="G10:G11"/>
    <mergeCell ref="H10:H11"/>
    <mergeCell ref="I10:I11"/>
    <mergeCell ref="A10:A11"/>
    <mergeCell ref="B10:B11"/>
    <mergeCell ref="C10:C11"/>
    <mergeCell ref="B8:C8"/>
    <mergeCell ref="D10:D11"/>
  </mergeCells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H69"/>
  <sheetViews>
    <sheetView view="pageBreakPreview" zoomScale="80" zoomScaleNormal="80" zoomScaleSheetLayoutView="80" workbookViewId="0">
      <selection activeCell="F59" sqref="A1:F59"/>
    </sheetView>
  </sheetViews>
  <sheetFormatPr defaultRowHeight="15.75"/>
  <cols>
    <col min="1" max="1" width="70.85546875" style="72" customWidth="1"/>
    <col min="2" max="2" width="7.85546875" style="70" customWidth="1"/>
    <col min="3" max="3" width="12" style="70" customWidth="1"/>
    <col min="4" max="4" width="20.5703125" style="85" customWidth="1"/>
    <col min="5" max="5" width="22.140625" style="72" hidden="1" customWidth="1"/>
    <col min="6" max="6" width="21.5703125" style="67" customWidth="1"/>
    <col min="7" max="7" width="18.7109375" style="67" customWidth="1"/>
    <col min="8" max="8" width="13.42578125" style="67" bestFit="1" customWidth="1"/>
    <col min="9" max="9" width="30.42578125" style="67" customWidth="1"/>
    <col min="10" max="16384" width="9.140625" style="67"/>
  </cols>
  <sheetData>
    <row r="1" spans="1:8">
      <c r="B1" s="882" t="s">
        <v>79</v>
      </c>
      <c r="C1" s="882"/>
      <c r="D1" s="882"/>
      <c r="E1" s="882"/>
      <c r="F1" s="882"/>
    </row>
    <row r="2" spans="1:8">
      <c r="B2" s="882" t="s">
        <v>204</v>
      </c>
      <c r="C2" s="882"/>
      <c r="D2" s="882"/>
      <c r="E2" s="882"/>
      <c r="F2" s="882"/>
    </row>
    <row r="3" spans="1:8">
      <c r="C3" s="882" t="s">
        <v>195</v>
      </c>
      <c r="D3" s="882"/>
      <c r="E3" s="882"/>
      <c r="F3" s="882"/>
    </row>
    <row r="4" spans="1:8">
      <c r="B4" s="882" t="s">
        <v>153</v>
      </c>
      <c r="C4" s="882"/>
      <c r="D4" s="882"/>
      <c r="E4" s="882"/>
      <c r="F4" s="882"/>
    </row>
    <row r="5" spans="1:8">
      <c r="C5" s="882" t="s">
        <v>196</v>
      </c>
      <c r="D5" s="882"/>
      <c r="E5" s="882"/>
      <c r="F5" s="882"/>
    </row>
    <row r="6" spans="1:8">
      <c r="C6" s="882" t="s">
        <v>1074</v>
      </c>
      <c r="D6" s="882"/>
      <c r="E6" s="882"/>
      <c r="F6" s="882"/>
    </row>
    <row r="7" spans="1:8" ht="15.75" customHeight="1">
      <c r="B7" s="883" t="s">
        <v>1075</v>
      </c>
      <c r="C7" s="883"/>
      <c r="D7" s="883"/>
      <c r="E7" s="883"/>
      <c r="F7" s="883"/>
    </row>
    <row r="8" spans="1:8" ht="45" customHeight="1">
      <c r="A8" s="881" t="s">
        <v>1073</v>
      </c>
      <c r="B8" s="881"/>
      <c r="C8" s="881"/>
      <c r="D8" s="881"/>
    </row>
    <row r="9" spans="1:8">
      <c r="A9" s="249"/>
      <c r="B9" s="250"/>
      <c r="C9" s="250"/>
      <c r="D9" s="391" t="s">
        <v>155</v>
      </c>
    </row>
    <row r="10" spans="1:8" ht="63">
      <c r="A10" s="715" t="s">
        <v>209</v>
      </c>
      <c r="B10" s="715" t="s">
        <v>210</v>
      </c>
      <c r="C10" s="715" t="s">
        <v>211</v>
      </c>
      <c r="D10" s="716" t="s">
        <v>214</v>
      </c>
      <c r="E10" s="244" t="s">
        <v>43</v>
      </c>
      <c r="F10" s="148" t="s">
        <v>43</v>
      </c>
    </row>
    <row r="11" spans="1:8">
      <c r="A11" s="73" t="s">
        <v>64</v>
      </c>
      <c r="B11" s="103" t="s">
        <v>215</v>
      </c>
      <c r="C11" s="103"/>
      <c r="D11" s="392">
        <f>D12+D13+D14+D16+D19+D20+D15</f>
        <v>71314.443200000009</v>
      </c>
      <c r="E11" s="392" t="e">
        <f t="shared" ref="E11:F11" si="0">E12+E13+E14+E16+E19+E20+E15</f>
        <v>#REF!</v>
      </c>
      <c r="F11" s="392">
        <f t="shared" si="0"/>
        <v>10029.4</v>
      </c>
      <c r="G11" s="198"/>
    </row>
    <row r="12" spans="1:8" s="71" customFormat="1" ht="31.5">
      <c r="A12" s="148" t="s">
        <v>65</v>
      </c>
      <c r="B12" s="96" t="s">
        <v>215</v>
      </c>
      <c r="C12" s="96" t="s">
        <v>216</v>
      </c>
      <c r="D12" s="200">
        <f>'пр. 10 2020г'!G72</f>
        <v>2091.87</v>
      </c>
      <c r="E12" s="200">
        <f>'пр. 10 2020г'!H72</f>
        <v>0</v>
      </c>
      <c r="F12" s="200">
        <f>'пр. 10 2020г'!H72</f>
        <v>0</v>
      </c>
    </row>
    <row r="13" spans="1:8" ht="47.25">
      <c r="A13" s="76" t="s">
        <v>353</v>
      </c>
      <c r="B13" s="96" t="s">
        <v>215</v>
      </c>
      <c r="C13" s="96" t="s">
        <v>218</v>
      </c>
      <c r="D13" s="200">
        <f>'пр. 10 2020г'!G15</f>
        <v>1919.7874999999999</v>
      </c>
      <c r="E13" s="200">
        <f>'пр. 10 2020г'!H15</f>
        <v>0</v>
      </c>
      <c r="F13" s="200">
        <f>'пр. 10 2020г'!H15</f>
        <v>0</v>
      </c>
    </row>
    <row r="14" spans="1:8" s="71" customFormat="1" ht="47.25">
      <c r="A14" s="148" t="s">
        <v>274</v>
      </c>
      <c r="B14" s="96" t="s">
        <v>215</v>
      </c>
      <c r="C14" s="96" t="s">
        <v>224</v>
      </c>
      <c r="D14" s="200">
        <f>'пр. 10 2020г'!G77</f>
        <v>11956.226279999999</v>
      </c>
      <c r="E14" s="200">
        <f>'пр. 10 2020г'!H77</f>
        <v>0</v>
      </c>
      <c r="F14" s="200">
        <f>'пр. 10 2020г'!H77</f>
        <v>0</v>
      </c>
      <c r="G14" s="417"/>
    </row>
    <row r="15" spans="1:8" ht="30.75" customHeight="1">
      <c r="A15" s="76" t="s">
        <v>150</v>
      </c>
      <c r="B15" s="96" t="s">
        <v>215</v>
      </c>
      <c r="C15" s="96" t="s">
        <v>225</v>
      </c>
      <c r="D15" s="200">
        <f>'пр. 10 2020г'!G91</f>
        <v>18.5</v>
      </c>
      <c r="E15" s="200">
        <f>'пр. 10 2020г'!H91</f>
        <v>18.5</v>
      </c>
      <c r="F15" s="200">
        <f>'пр. 10 2020г'!H91</f>
        <v>18.5</v>
      </c>
    </row>
    <row r="16" spans="1:8" s="71" customFormat="1" ht="31.5">
      <c r="A16" s="148" t="s">
        <v>159</v>
      </c>
      <c r="B16" s="96" t="s">
        <v>215</v>
      </c>
      <c r="C16" s="96" t="s">
        <v>221</v>
      </c>
      <c r="D16" s="200">
        <f>'пр. 10 2020г'!G40+'пр. 10 2020г'!G27</f>
        <v>10309.30142</v>
      </c>
      <c r="E16" s="246" t="e">
        <f>#REF!+#REF!+#REF!+#REF!+#REF!</f>
        <v>#REF!</v>
      </c>
      <c r="F16" s="714">
        <f>'пр. 10 2020г'!H40+'пр. 10 2020г'!H27</f>
        <v>0</v>
      </c>
      <c r="G16" s="197"/>
      <c r="H16" s="417"/>
    </row>
    <row r="17" spans="1:8" ht="31.5" hidden="1">
      <c r="A17" s="372" t="s">
        <v>446</v>
      </c>
      <c r="B17" s="205" t="s">
        <v>215</v>
      </c>
      <c r="C17" s="205" t="s">
        <v>221</v>
      </c>
      <c r="D17" s="200" t="e">
        <f>D18</f>
        <v>#REF!</v>
      </c>
      <c r="E17" s="246"/>
      <c r="F17" s="557"/>
    </row>
    <row r="18" spans="1:8" ht="31.5" hidden="1">
      <c r="A18" s="372" t="s">
        <v>263</v>
      </c>
      <c r="B18" s="205" t="s">
        <v>215</v>
      </c>
      <c r="C18" s="205" t="s">
        <v>221</v>
      </c>
      <c r="D18" s="200" t="e">
        <f>'пр. 10 2020г'!#REF!</f>
        <v>#REF!</v>
      </c>
      <c r="E18" s="246"/>
      <c r="F18" s="557"/>
    </row>
    <row r="19" spans="1:8" s="71" customFormat="1">
      <c r="A19" s="148" t="s">
        <v>233</v>
      </c>
      <c r="B19" s="96" t="s">
        <v>215</v>
      </c>
      <c r="C19" s="96" t="s">
        <v>223</v>
      </c>
      <c r="D19" s="109">
        <f>'пр. 10 2020г'!G94</f>
        <v>500</v>
      </c>
      <c r="E19" s="246" t="e">
        <f>#REF!</f>
        <v>#REF!</v>
      </c>
      <c r="F19" s="557">
        <f>'пр. 10 2020г'!H94</f>
        <v>0</v>
      </c>
    </row>
    <row r="20" spans="1:8" s="71" customFormat="1">
      <c r="A20" s="164" t="s">
        <v>230</v>
      </c>
      <c r="B20" s="96" t="s">
        <v>215</v>
      </c>
      <c r="C20" s="96" t="s">
        <v>241</v>
      </c>
      <c r="D20" s="109">
        <f>'пр. 10 2020г'!G97</f>
        <v>44518.758000000002</v>
      </c>
      <c r="E20" s="109">
        <f>'пр. 10 2020г'!H97</f>
        <v>10010.9</v>
      </c>
      <c r="F20" s="109">
        <f>'пр. 10 2020г'!H97</f>
        <v>10010.9</v>
      </c>
      <c r="G20" s="417"/>
      <c r="H20" s="197"/>
    </row>
    <row r="21" spans="1:8" s="78" customFormat="1" ht="31.5">
      <c r="A21" s="73" t="s">
        <v>67</v>
      </c>
      <c r="B21" s="103" t="s">
        <v>218</v>
      </c>
      <c r="C21" s="103"/>
      <c r="D21" s="104">
        <f>D22</f>
        <v>1200.3455000000001</v>
      </c>
      <c r="E21" s="104" t="e">
        <f t="shared" ref="E21:F21" si="1">E22</f>
        <v>#REF!</v>
      </c>
      <c r="F21" s="104">
        <f t="shared" si="1"/>
        <v>0</v>
      </c>
    </row>
    <row r="22" spans="1:8" s="71" customFormat="1" ht="31.5">
      <c r="A22" s="148" t="s">
        <v>235</v>
      </c>
      <c r="B22" s="96" t="s">
        <v>218</v>
      </c>
      <c r="C22" s="96" t="s">
        <v>219</v>
      </c>
      <c r="D22" s="109">
        <f>'пр. 10 2020г'!G124</f>
        <v>1200.3455000000001</v>
      </c>
      <c r="E22" s="246" t="e">
        <f>#REF!</f>
        <v>#REF!</v>
      </c>
      <c r="F22" s="557">
        <f>'пр. 10 2020г'!H124</f>
        <v>0</v>
      </c>
    </row>
    <row r="23" spans="1:8" hidden="1">
      <c r="A23" s="163" t="s">
        <v>265</v>
      </c>
      <c r="B23" s="96" t="s">
        <v>218</v>
      </c>
      <c r="C23" s="96" t="s">
        <v>219</v>
      </c>
      <c r="D23" s="109" t="e">
        <f>D24</f>
        <v>#REF!</v>
      </c>
      <c r="E23" s="246"/>
      <c r="F23" s="557"/>
    </row>
    <row r="24" spans="1:8" hidden="1">
      <c r="A24" s="163" t="s">
        <v>193</v>
      </c>
      <c r="B24" s="96" t="s">
        <v>218</v>
      </c>
      <c r="C24" s="96" t="s">
        <v>219</v>
      </c>
      <c r="D24" s="109" t="e">
        <f>'пр. 10 2020г'!#REF!</f>
        <v>#REF!</v>
      </c>
      <c r="E24" s="246"/>
      <c r="F24" s="557"/>
    </row>
    <row r="25" spans="1:8" s="78" customFormat="1">
      <c r="A25" s="73" t="s">
        <v>68</v>
      </c>
      <c r="B25" s="103" t="s">
        <v>224</v>
      </c>
      <c r="C25" s="103"/>
      <c r="D25" s="104">
        <f>D26+D27+D28</f>
        <v>40012.451430000001</v>
      </c>
      <c r="E25" s="104" t="e">
        <f t="shared" ref="E25:F25" si="2">E26+E27+E28</f>
        <v>#REF!</v>
      </c>
      <c r="F25" s="104">
        <f t="shared" si="2"/>
        <v>18139.199999999997</v>
      </c>
    </row>
    <row r="26" spans="1:8" s="71" customFormat="1">
      <c r="A26" s="148" t="s">
        <v>232</v>
      </c>
      <c r="B26" s="96" t="s">
        <v>224</v>
      </c>
      <c r="C26" s="96" t="s">
        <v>225</v>
      </c>
      <c r="D26" s="109">
        <f>'пр. 10 2020г'!G131</f>
        <v>2476</v>
      </c>
      <c r="E26" s="246" t="e">
        <f>#REF!</f>
        <v>#REF!</v>
      </c>
      <c r="F26" s="557">
        <f>'пр. 10 2020г'!H131</f>
        <v>1725.9999999999998</v>
      </c>
    </row>
    <row r="27" spans="1:8" s="71" customFormat="1">
      <c r="A27" s="148" t="s">
        <v>272</v>
      </c>
      <c r="B27" s="96" t="s">
        <v>224</v>
      </c>
      <c r="C27" s="96" t="s">
        <v>219</v>
      </c>
      <c r="D27" s="109">
        <f>'пр. 10 2020г'!G147+'пр. 10 2020г'!G442</f>
        <v>13394.699999999999</v>
      </c>
      <c r="E27" s="246" t="e">
        <f>#REF!</f>
        <v>#REF!</v>
      </c>
      <c r="F27" s="557">
        <f>'пр. 10 2020г'!H147+'пр. 10 2020г'!H442</f>
        <v>531.4</v>
      </c>
    </row>
    <row r="28" spans="1:8" s="71" customFormat="1">
      <c r="A28" s="148" t="s">
        <v>57</v>
      </c>
      <c r="B28" s="96" t="s">
        <v>224</v>
      </c>
      <c r="C28" s="96" t="s">
        <v>222</v>
      </c>
      <c r="D28" s="109">
        <f>'пр. 10 2020г'!G448+'пр. 10 2020г'!G151</f>
        <v>24141.75143</v>
      </c>
      <c r="E28" s="246" t="e">
        <f>#REF!+#REF!+#REF!+#REF!+#REF!+#REF!+#REF!+#REF!</f>
        <v>#REF!</v>
      </c>
      <c r="F28" s="557">
        <f>'пр. 10 2020г'!H448+'пр. 10 2020г'!H151</f>
        <v>15881.8</v>
      </c>
      <c r="G28" s="417"/>
    </row>
    <row r="29" spans="1:8" s="71" customFormat="1" ht="27" customHeight="1">
      <c r="A29" s="73" t="s">
        <v>69</v>
      </c>
      <c r="B29" s="103" t="s">
        <v>225</v>
      </c>
      <c r="C29" s="103"/>
      <c r="D29" s="104">
        <f>D31+D30</f>
        <v>70124.133889999997</v>
      </c>
      <c r="E29" s="104">
        <f t="shared" ref="E29:F29" si="3">E31+E30</f>
        <v>0</v>
      </c>
      <c r="F29" s="104">
        <f t="shared" si="3"/>
        <v>63957.1</v>
      </c>
    </row>
    <row r="30" spans="1:8" s="71" customFormat="1" ht="24.75" customHeight="1">
      <c r="A30" s="76" t="s">
        <v>620</v>
      </c>
      <c r="B30" s="96" t="s">
        <v>225</v>
      </c>
      <c r="C30" s="96" t="s">
        <v>216</v>
      </c>
      <c r="D30" s="109">
        <f>'пр. 10 2020г'!G464</f>
        <v>22393.263890000002</v>
      </c>
      <c r="E30" s="246"/>
      <c r="F30" s="557">
        <f>'пр. 10 2020г'!H465</f>
        <v>19024.5</v>
      </c>
    </row>
    <row r="31" spans="1:8" s="71" customFormat="1" ht="27" customHeight="1">
      <c r="A31" s="148" t="s">
        <v>54</v>
      </c>
      <c r="B31" s="96" t="s">
        <v>225</v>
      </c>
      <c r="C31" s="96" t="s">
        <v>225</v>
      </c>
      <c r="D31" s="109">
        <f>'пр. 10 2020г'!G475</f>
        <v>47730.869999999995</v>
      </c>
      <c r="E31" s="246"/>
      <c r="F31" s="557">
        <f>'пр. 10 2020г'!H475</f>
        <v>44932.6</v>
      </c>
      <c r="H31" s="417"/>
    </row>
    <row r="32" spans="1:8">
      <c r="A32" s="165" t="s">
        <v>191</v>
      </c>
      <c r="B32" s="103" t="s">
        <v>221</v>
      </c>
      <c r="C32" s="103"/>
      <c r="D32" s="104">
        <f>D33</f>
        <v>100</v>
      </c>
      <c r="E32" s="104">
        <f t="shared" ref="E32:F32" si="4">E33</f>
        <v>0</v>
      </c>
      <c r="F32" s="104">
        <f t="shared" si="4"/>
        <v>0</v>
      </c>
    </row>
    <row r="33" spans="1:8" ht="31.5">
      <c r="A33" s="76" t="s">
        <v>192</v>
      </c>
      <c r="B33" s="96" t="s">
        <v>221</v>
      </c>
      <c r="C33" s="96" t="s">
        <v>216</v>
      </c>
      <c r="D33" s="109">
        <f>'пр. 10 2020г'!G171</f>
        <v>100</v>
      </c>
      <c r="E33" s="246"/>
      <c r="F33" s="557">
        <f>'пр. 10 2020г'!H171</f>
        <v>0</v>
      </c>
    </row>
    <row r="34" spans="1:8">
      <c r="A34" s="374" t="s">
        <v>70</v>
      </c>
      <c r="B34" s="373" t="s">
        <v>217</v>
      </c>
      <c r="C34" s="373"/>
      <c r="D34" s="392">
        <f>D35+D36+D38+D39+D40</f>
        <v>790297.95277000009</v>
      </c>
      <c r="E34" s="392" t="e">
        <f t="shared" ref="E34:F34" si="5">E35+E36+E38+E39+E40</f>
        <v>#REF!</v>
      </c>
      <c r="F34" s="392">
        <f t="shared" si="5"/>
        <v>648835.34595999995</v>
      </c>
      <c r="G34" s="198">
        <f>G35+G36+G38+G39+G40</f>
        <v>790297.95277000009</v>
      </c>
    </row>
    <row r="35" spans="1:8" s="78" customFormat="1">
      <c r="A35" s="148" t="s">
        <v>407</v>
      </c>
      <c r="B35" s="96" t="s">
        <v>217</v>
      </c>
      <c r="C35" s="96" t="s">
        <v>215</v>
      </c>
      <c r="D35" s="200">
        <f>'пр. 10 2020г'!G290</f>
        <v>210875.10099000001</v>
      </c>
      <c r="E35" s="246" t="e">
        <f>#REF!</f>
        <v>#REF!</v>
      </c>
      <c r="F35" s="557">
        <f>'пр. 10 2020г'!H290</f>
        <v>165029.98298999999</v>
      </c>
      <c r="G35" s="809">
        <f>'пр. 10 2020г'!G290</f>
        <v>210875.10099000001</v>
      </c>
      <c r="H35" s="438"/>
    </row>
    <row r="36" spans="1:8">
      <c r="A36" s="148" t="s">
        <v>262</v>
      </c>
      <c r="B36" s="96" t="s">
        <v>217</v>
      </c>
      <c r="C36" s="96" t="s">
        <v>216</v>
      </c>
      <c r="D36" s="200">
        <f>'пр. 10 2020г'!G312</f>
        <v>500193.79430000007</v>
      </c>
      <c r="E36" s="246"/>
      <c r="F36" s="714">
        <f>'пр. 10 2020г'!H312</f>
        <v>436849.23119999998</v>
      </c>
      <c r="G36" s="198">
        <f>'пр. 10 2020г'!G312</f>
        <v>500193.79430000007</v>
      </c>
    </row>
    <row r="37" spans="1:8" ht="23.25" hidden="1" customHeight="1">
      <c r="A37" s="76" t="s">
        <v>348</v>
      </c>
      <c r="B37" s="96" t="s">
        <v>217</v>
      </c>
      <c r="C37" s="96" t="s">
        <v>216</v>
      </c>
      <c r="D37" s="109"/>
      <c r="E37" s="246"/>
      <c r="F37" s="98"/>
      <c r="G37" s="198"/>
    </row>
    <row r="38" spans="1:8" s="23" customFormat="1">
      <c r="A38" s="163" t="s">
        <v>477</v>
      </c>
      <c r="B38" s="150" t="s">
        <v>217</v>
      </c>
      <c r="C38" s="150" t="s">
        <v>218</v>
      </c>
      <c r="D38" s="200">
        <f>'пр. 10 2020г'!G359+'пр. 10 2020г'!G176</f>
        <v>49179.671690000003</v>
      </c>
      <c r="E38" s="247"/>
      <c r="F38" s="154">
        <f>'пр. 10 2020г'!H359+'пр. 10 2020г'!H176</f>
        <v>33441.495200000005</v>
      </c>
      <c r="G38" s="810">
        <f>'пр. 10 2020г'!G359+'пр. 10 2020г'!G176</f>
        <v>49179.671690000003</v>
      </c>
    </row>
    <row r="39" spans="1:8" s="23" customFormat="1">
      <c r="A39" s="148" t="s">
        <v>401</v>
      </c>
      <c r="B39" s="96" t="s">
        <v>217</v>
      </c>
      <c r="C39" s="96" t="s">
        <v>217</v>
      </c>
      <c r="D39" s="109">
        <f>'пр. 10 2020г'!G184+'пр. 10 2020г'!G377</f>
        <v>8257.7640199999987</v>
      </c>
      <c r="E39" s="247"/>
      <c r="F39" s="154">
        <f>'пр. 10 2020г'!H184+'пр. 10 2020г'!H377</f>
        <v>7114.3300200000003</v>
      </c>
      <c r="G39" s="810">
        <f>'пр. 10 2020г'!G377+'пр. 10 2020г'!G184</f>
        <v>8257.7640199999987</v>
      </c>
      <c r="H39" s="592">
        <f>D39-G39</f>
        <v>0</v>
      </c>
    </row>
    <row r="40" spans="1:8">
      <c r="A40" s="148" t="s">
        <v>409</v>
      </c>
      <c r="B40" s="96" t="s">
        <v>217</v>
      </c>
      <c r="C40" s="96" t="s">
        <v>219</v>
      </c>
      <c r="D40" s="109">
        <f>'пр. 10 2020г'!G394</f>
        <v>21791.621769999998</v>
      </c>
      <c r="E40" s="246"/>
      <c r="F40" s="98">
        <f>'пр. 10 2020г'!H394</f>
        <v>6400.3065500000002</v>
      </c>
      <c r="G40" s="198">
        <f>'пр. 10 2020г'!G394</f>
        <v>21791.621769999998</v>
      </c>
    </row>
    <row r="41" spans="1:8">
      <c r="A41" s="252" t="s">
        <v>71</v>
      </c>
      <c r="B41" s="341" t="s">
        <v>226</v>
      </c>
      <c r="C41" s="341"/>
      <c r="D41" s="123">
        <f>D42</f>
        <v>45564.985000000001</v>
      </c>
      <c r="E41" s="123">
        <f t="shared" ref="E41:F41" si="6">E42</f>
        <v>0</v>
      </c>
      <c r="F41" s="123">
        <f t="shared" si="6"/>
        <v>20202.900000000001</v>
      </c>
    </row>
    <row r="42" spans="1:8">
      <c r="A42" s="148" t="s">
        <v>406</v>
      </c>
      <c r="B42" s="96" t="s">
        <v>226</v>
      </c>
      <c r="C42" s="96" t="s">
        <v>215</v>
      </c>
      <c r="D42" s="109">
        <f>'пр. 10 2020г'!G190</f>
        <v>45564.985000000001</v>
      </c>
      <c r="E42" s="246"/>
      <c r="F42" s="557">
        <f>'пр. 10 2020г'!H190</f>
        <v>20202.900000000001</v>
      </c>
      <c r="G42" s="412"/>
    </row>
    <row r="43" spans="1:8" ht="18" customHeight="1">
      <c r="A43" s="73" t="s">
        <v>72</v>
      </c>
      <c r="B43" s="103" t="s">
        <v>220</v>
      </c>
      <c r="C43" s="103"/>
      <c r="D43" s="104">
        <f>D44+D45+D46</f>
        <v>14027.06791</v>
      </c>
      <c r="E43" s="104" t="e">
        <f t="shared" ref="E43:F43" si="7">E44+E45+E46</f>
        <v>#REF!</v>
      </c>
      <c r="F43" s="104">
        <f t="shared" si="7"/>
        <v>9003.2000000000007</v>
      </c>
      <c r="G43" s="412"/>
    </row>
    <row r="44" spans="1:8" ht="29.25" customHeight="1">
      <c r="A44" s="148" t="s">
        <v>231</v>
      </c>
      <c r="B44" s="96" t="s">
        <v>220</v>
      </c>
      <c r="C44" s="96" t="s">
        <v>215</v>
      </c>
      <c r="D44" s="109">
        <f>'пр. 10 2020г'!G207</f>
        <v>4610.5679099999998</v>
      </c>
      <c r="E44" s="246"/>
      <c r="F44" s="557">
        <f>'пр. 10 2020г'!H207</f>
        <v>0</v>
      </c>
    </row>
    <row r="45" spans="1:8" s="78" customFormat="1" ht="22.5" customHeight="1">
      <c r="A45" s="148" t="s">
        <v>403</v>
      </c>
      <c r="B45" s="96" t="s">
        <v>220</v>
      </c>
      <c r="C45" s="96" t="s">
        <v>218</v>
      </c>
      <c r="D45" s="109">
        <f>'пр. 10 2020г'!G211+'пр. 10 2020г'!G433</f>
        <v>6659.1</v>
      </c>
      <c r="E45" s="246" t="e">
        <f>#REF!+#REF!+#REF!+#REF!+#REF!</f>
        <v>#REF!</v>
      </c>
      <c r="F45" s="557">
        <f>'пр. 10 2020г'!H211+'пр. 10 2020г'!H433</f>
        <v>6245.8</v>
      </c>
      <c r="G45" s="438"/>
    </row>
    <row r="46" spans="1:8">
      <c r="A46" s="148" t="s">
        <v>404</v>
      </c>
      <c r="B46" s="96" t="s">
        <v>220</v>
      </c>
      <c r="C46" s="96" t="s">
        <v>221</v>
      </c>
      <c r="D46" s="109">
        <f>'пр. 10 2020г'!G230</f>
        <v>2757.3999999999996</v>
      </c>
      <c r="E46" s="246"/>
      <c r="F46" s="557">
        <f>'пр. 10 2020г'!H230</f>
        <v>2757.3999999999996</v>
      </c>
    </row>
    <row r="47" spans="1:8">
      <c r="A47" s="73" t="s">
        <v>73</v>
      </c>
      <c r="B47" s="103" t="s">
        <v>223</v>
      </c>
      <c r="C47" s="103"/>
      <c r="D47" s="104">
        <f>D48+D49+D50</f>
        <v>18626.572560000001</v>
      </c>
      <c r="E47" s="104" t="e">
        <f t="shared" ref="E47:F47" si="8">E48+E49+E50</f>
        <v>#REF!</v>
      </c>
      <c r="F47" s="104">
        <f t="shared" si="8"/>
        <v>8376.3000000000011</v>
      </c>
    </row>
    <row r="48" spans="1:8">
      <c r="A48" s="148" t="s">
        <v>74</v>
      </c>
      <c r="B48" s="96" t="s">
        <v>223</v>
      </c>
      <c r="C48" s="96" t="s">
        <v>215</v>
      </c>
      <c r="D48" s="109">
        <f>'пр. 10 2020г'!G241</f>
        <v>1037.9627</v>
      </c>
      <c r="E48" s="246" t="e">
        <f>#REF!+#REF!</f>
        <v>#REF!</v>
      </c>
      <c r="F48" s="557">
        <f>'пр. 10 2020г'!H241</f>
        <v>0</v>
      </c>
    </row>
    <row r="49" spans="1:7" ht="25.5" customHeight="1">
      <c r="A49" s="148" t="s">
        <v>261</v>
      </c>
      <c r="B49" s="96" t="s">
        <v>223</v>
      </c>
      <c r="C49" s="96" t="s">
        <v>216</v>
      </c>
      <c r="D49" s="109">
        <f>'пр. 10 2020г'!G246</f>
        <v>1559.92</v>
      </c>
      <c r="E49" s="246"/>
      <c r="F49" s="557">
        <f>'пр. 10 2020г'!H246</f>
        <v>631.1</v>
      </c>
    </row>
    <row r="50" spans="1:7" s="75" customFormat="1">
      <c r="A50" s="164" t="s">
        <v>819</v>
      </c>
      <c r="B50" s="96" t="s">
        <v>223</v>
      </c>
      <c r="C50" s="96" t="s">
        <v>218</v>
      </c>
      <c r="D50" s="109">
        <f>'пр. 10 2020г'!G253</f>
        <v>16028.68986</v>
      </c>
      <c r="E50" s="246"/>
      <c r="F50" s="557">
        <f>'пр. 10 2020г'!H253</f>
        <v>7745.2000000000007</v>
      </c>
    </row>
    <row r="51" spans="1:7" s="75" customFormat="1">
      <c r="A51" s="73" t="s">
        <v>75</v>
      </c>
      <c r="B51" s="103" t="s">
        <v>222</v>
      </c>
      <c r="C51" s="103"/>
      <c r="D51" s="104">
        <f t="shared" ref="D51:F51" si="9">D52</f>
        <v>678.84</v>
      </c>
      <c r="E51" s="104" t="e">
        <f t="shared" si="9"/>
        <v>#REF!</v>
      </c>
      <c r="F51" s="104">
        <f t="shared" si="9"/>
        <v>0</v>
      </c>
    </row>
    <row r="52" spans="1:7">
      <c r="A52" s="148" t="s">
        <v>240</v>
      </c>
      <c r="B52" s="96" t="s">
        <v>222</v>
      </c>
      <c r="C52" s="96" t="s">
        <v>216</v>
      </c>
      <c r="D52" s="109">
        <f>'пр. 10 2020г'!G262</f>
        <v>678.84</v>
      </c>
      <c r="E52" s="246" t="e">
        <f>#REF!</f>
        <v>#REF!</v>
      </c>
      <c r="F52" s="557">
        <f>'пр. 10 2020г'!H262</f>
        <v>0</v>
      </c>
    </row>
    <row r="53" spans="1:7">
      <c r="A53" s="170" t="s">
        <v>1176</v>
      </c>
      <c r="B53" s="96" t="s">
        <v>241</v>
      </c>
      <c r="C53" s="96"/>
      <c r="D53" s="109">
        <f>D54</f>
        <v>14.72308</v>
      </c>
      <c r="E53" s="246"/>
      <c r="F53" s="557">
        <v>0</v>
      </c>
    </row>
    <row r="54" spans="1:7" ht="31.5">
      <c r="A54" s="339" t="s">
        <v>1193</v>
      </c>
      <c r="B54" s="96" t="s">
        <v>241</v>
      </c>
      <c r="C54" s="96" t="s">
        <v>215</v>
      </c>
      <c r="D54" s="109">
        <f>'пр. 10 2020г'!G53</f>
        <v>14.72308</v>
      </c>
      <c r="E54" s="246"/>
      <c r="F54" s="557">
        <v>0</v>
      </c>
    </row>
    <row r="55" spans="1:7" ht="47.25">
      <c r="A55" s="252" t="s">
        <v>76</v>
      </c>
      <c r="B55" s="341" t="s">
        <v>228</v>
      </c>
      <c r="C55" s="341"/>
      <c r="D55" s="123">
        <f>D56+D57</f>
        <v>42121.58466</v>
      </c>
      <c r="E55" s="123" t="e">
        <f t="shared" ref="E55:F55" si="10">E56+E57</f>
        <v>#REF!</v>
      </c>
      <c r="F55" s="123">
        <f t="shared" si="10"/>
        <v>14432.75404</v>
      </c>
    </row>
    <row r="56" spans="1:7" s="71" customFormat="1" ht="31.5">
      <c r="A56" s="242" t="s">
        <v>77</v>
      </c>
      <c r="B56" s="150" t="s">
        <v>228</v>
      </c>
      <c r="C56" s="150" t="s">
        <v>215</v>
      </c>
      <c r="D56" s="149">
        <f>'пр. 10 2020г'!G56</f>
        <v>88.5</v>
      </c>
      <c r="E56" s="246" t="e">
        <f>#REF!</f>
        <v>#REF!</v>
      </c>
      <c r="F56" s="557">
        <f>'пр. 10 2020г'!H56</f>
        <v>88.5</v>
      </c>
    </row>
    <row r="57" spans="1:7" s="78" customFormat="1" ht="36" customHeight="1">
      <c r="A57" s="242" t="s">
        <v>78</v>
      </c>
      <c r="B57" s="150" t="s">
        <v>228</v>
      </c>
      <c r="C57" s="150" t="s">
        <v>218</v>
      </c>
      <c r="D57" s="149">
        <f>'пр. 10 2020г'!G61+'пр. 10 2020г'!G268</f>
        <v>42033.08466</v>
      </c>
      <c r="E57" s="246" t="e">
        <f>#REF!+#REF!</f>
        <v>#REF!</v>
      </c>
      <c r="F57" s="557">
        <f>'пр. 10 2020г'!H61+'пр. 10 2020г'!H268</f>
        <v>14344.25404</v>
      </c>
      <c r="G57" s="438"/>
    </row>
    <row r="58" spans="1:7" s="75" customFormat="1" ht="21.75" customHeight="1">
      <c r="A58" s="368" t="s">
        <v>227</v>
      </c>
      <c r="B58" s="340"/>
      <c r="C58" s="340"/>
      <c r="D58" s="123">
        <f>D11+D21+D25+D29+D32+D34+D41+D43+D47+D51+D55+D54</f>
        <v>1094083.1000000001</v>
      </c>
      <c r="E58" s="123" t="e">
        <f t="shared" ref="E58:F58" si="11">E11+E21+E25+E29+E32+E34+E41+E43+E47+E51+E55+E54</f>
        <v>#REF!</v>
      </c>
      <c r="F58" s="123">
        <f t="shared" si="11"/>
        <v>792976.2</v>
      </c>
    </row>
    <row r="59" spans="1:7" s="75" customFormat="1">
      <c r="A59" s="72"/>
      <c r="B59" s="70"/>
      <c r="C59" s="70"/>
      <c r="D59" s="85"/>
      <c r="E59" s="246"/>
    </row>
    <row r="60" spans="1:7" s="75" customFormat="1">
      <c r="A60" s="70"/>
      <c r="B60" s="70"/>
      <c r="C60" s="70"/>
      <c r="D60" s="85">
        <f>'пр. 10 2020г'!G485</f>
        <v>1094083.1000000001</v>
      </c>
      <c r="E60" s="246"/>
      <c r="F60" s="75">
        <f>'пр. 10 2020г'!H485</f>
        <v>792976.20000000007</v>
      </c>
    </row>
    <row r="61" spans="1:7" s="75" customFormat="1">
      <c r="A61" s="72"/>
      <c r="B61" s="70"/>
      <c r="C61" s="70"/>
      <c r="D61" s="85">
        <f>D60-D58</f>
        <v>0</v>
      </c>
      <c r="F61" s="427">
        <f>F60-F58</f>
        <v>0</v>
      </c>
    </row>
    <row r="62" spans="1:7" s="75" customFormat="1">
      <c r="A62" s="70"/>
      <c r="B62" s="70"/>
      <c r="C62" s="70"/>
      <c r="D62" s="85"/>
    </row>
    <row r="63" spans="1:7" s="75" customFormat="1">
      <c r="A63" s="70"/>
      <c r="B63" s="70"/>
      <c r="C63" s="70"/>
      <c r="D63" s="85"/>
    </row>
    <row r="64" spans="1:7">
      <c r="E64" s="245" t="e">
        <f>E11+E21+E25+#REF!+E35+#REF!+#REF!+#REF!+E45+#REF!+#REF!+E55+E57</f>
        <v>#REF!</v>
      </c>
    </row>
    <row r="66" spans="5:5">
      <c r="E66" s="72">
        <f>'[1]пр. 7'!H758</f>
        <v>388583.76954000001</v>
      </c>
    </row>
    <row r="68" spans="5:5">
      <c r="E68" s="81" t="e">
        <f>E66-E64</f>
        <v>#REF!</v>
      </c>
    </row>
    <row r="69" spans="5:5">
      <c r="E69" s="82"/>
    </row>
  </sheetData>
  <autoFilter ref="A10:D58"/>
  <mergeCells count="8">
    <mergeCell ref="A8:D8"/>
    <mergeCell ref="B1:F1"/>
    <mergeCell ref="B2:F2"/>
    <mergeCell ref="C3:F3"/>
    <mergeCell ref="B4:F4"/>
    <mergeCell ref="C5:F5"/>
    <mergeCell ref="C6:F6"/>
    <mergeCell ref="B7:F7"/>
  </mergeCells>
  <phoneticPr fontId="13" type="noConversion"/>
  <pageMargins left="0.70866141732283472" right="0.70866141732283472" top="0.35433070866141736" bottom="0.31496062992125984" header="0.31496062992125984" footer="0.31496062992125984"/>
  <pageSetup paperSize="9" scale="52" fitToWidth="13" fitToHeight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1"/>
  <sheetViews>
    <sheetView view="pageBreakPreview" zoomScale="81" zoomScaleSheetLayoutView="81" workbookViewId="0">
      <selection activeCell="F55" sqref="A1:F55"/>
    </sheetView>
  </sheetViews>
  <sheetFormatPr defaultRowHeight="15.75"/>
  <cols>
    <col min="1" max="1" width="76.140625" style="72" customWidth="1"/>
    <col min="2" max="2" width="8.140625" style="70" customWidth="1"/>
    <col min="3" max="3" width="12.42578125" style="70" customWidth="1"/>
    <col min="4" max="4" width="18.42578125" style="85" customWidth="1"/>
    <col min="5" max="5" width="22.140625" style="393" hidden="1" customWidth="1"/>
    <col min="6" max="6" width="18.42578125" style="85" customWidth="1"/>
    <col min="7" max="7" width="17.42578125" style="67" customWidth="1"/>
    <col min="8" max="8" width="19.5703125" style="67" customWidth="1"/>
    <col min="9" max="10" width="13.5703125" style="67" bestFit="1" customWidth="1"/>
    <col min="11" max="16384" width="9.140625" style="67"/>
  </cols>
  <sheetData>
    <row r="1" spans="1:10">
      <c r="C1" s="72"/>
      <c r="D1" s="70"/>
      <c r="E1" s="70"/>
      <c r="F1" s="698" t="s">
        <v>1071</v>
      </c>
    </row>
    <row r="2" spans="1:10">
      <c r="C2" s="72"/>
      <c r="D2" s="70"/>
      <c r="E2" s="70"/>
      <c r="F2" s="698" t="s">
        <v>204</v>
      </c>
    </row>
    <row r="3" spans="1:10">
      <c r="C3" s="72"/>
      <c r="D3" s="70"/>
      <c r="E3" s="70"/>
      <c r="F3" s="698" t="s">
        <v>306</v>
      </c>
    </row>
    <row r="4" spans="1:10">
      <c r="C4" s="72"/>
      <c r="D4" s="70"/>
      <c r="E4" s="70"/>
      <c r="F4" s="698" t="s">
        <v>153</v>
      </c>
    </row>
    <row r="5" spans="1:10">
      <c r="C5" s="72"/>
      <c r="D5" s="70"/>
      <c r="E5" s="70"/>
      <c r="F5" s="698" t="s">
        <v>307</v>
      </c>
    </row>
    <row r="6" spans="1:10">
      <c r="C6" s="72"/>
      <c r="D6" s="70"/>
      <c r="E6" s="70"/>
      <c r="F6" s="698" t="s">
        <v>1072</v>
      </c>
    </row>
    <row r="7" spans="1:10">
      <c r="C7" s="72"/>
      <c r="D7" s="883" t="s">
        <v>780</v>
      </c>
      <c r="E7" s="883"/>
      <c r="F7" s="883"/>
    </row>
    <row r="8" spans="1:10">
      <c r="A8" s="881" t="s">
        <v>649</v>
      </c>
      <c r="B8" s="881"/>
      <c r="C8" s="881"/>
      <c r="D8" s="881"/>
      <c r="F8" s="412"/>
    </row>
    <row r="9" spans="1:10">
      <c r="A9" s="249"/>
      <c r="B9" s="250"/>
      <c r="C9" s="250"/>
      <c r="D9" s="391" t="s">
        <v>155</v>
      </c>
      <c r="F9" s="391" t="s">
        <v>155</v>
      </c>
    </row>
    <row r="10" spans="1:10" ht="63">
      <c r="A10" s="162" t="s">
        <v>209</v>
      </c>
      <c r="B10" s="162" t="s">
        <v>210</v>
      </c>
      <c r="C10" s="162" t="s">
        <v>63</v>
      </c>
      <c r="D10" s="89" t="s">
        <v>781</v>
      </c>
      <c r="E10" s="413" t="s">
        <v>43</v>
      </c>
      <c r="F10" s="89" t="s">
        <v>923</v>
      </c>
    </row>
    <row r="11" spans="1:10">
      <c r="A11" s="73" t="s">
        <v>64</v>
      </c>
      <c r="B11" s="103" t="s">
        <v>215</v>
      </c>
      <c r="C11" s="103"/>
      <c r="D11" s="123">
        <f>D12+D13+D14+D15+D16+D17+D18</f>
        <v>58894.402000000002</v>
      </c>
      <c r="E11" s="123" t="e">
        <f t="shared" ref="E11:F11" si="0">E12+E13+E14+E15+E16+E17+E18</f>
        <v>#REF!</v>
      </c>
      <c r="F11" s="123">
        <f t="shared" si="0"/>
        <v>57717.307999999997</v>
      </c>
      <c r="G11" s="198"/>
      <c r="H11" s="412"/>
      <c r="J11" s="412"/>
    </row>
    <row r="12" spans="1:10" s="71" customFormat="1" ht="31.5">
      <c r="A12" s="148" t="s">
        <v>65</v>
      </c>
      <c r="B12" s="96" t="s">
        <v>215</v>
      </c>
      <c r="C12" s="96" t="s">
        <v>216</v>
      </c>
      <c r="D12" s="200">
        <f>'пр.11 2021-2022г'!G70</f>
        <v>2091.87</v>
      </c>
      <c r="E12" s="112" t="e">
        <f>#REF!</f>
        <v>#REF!</v>
      </c>
      <c r="F12" s="200">
        <f>'пр.11 2021-2022г'!H70</f>
        <v>2091.87</v>
      </c>
    </row>
    <row r="13" spans="1:10" s="75" customFormat="1" ht="47.25">
      <c r="A13" s="148" t="s">
        <v>66</v>
      </c>
      <c r="B13" s="96" t="s">
        <v>215</v>
      </c>
      <c r="C13" s="96" t="s">
        <v>218</v>
      </c>
      <c r="D13" s="200">
        <f>'пр.11 2021-2022г'!G15</f>
        <v>1860.7874999999999</v>
      </c>
      <c r="E13" s="200" t="e">
        <f>#REF!</f>
        <v>#REF!</v>
      </c>
      <c r="F13" s="200">
        <f>'пр.11 2021-2022г'!H15</f>
        <v>1860.7874999999999</v>
      </c>
    </row>
    <row r="14" spans="1:10" s="71" customFormat="1" ht="54" customHeight="1">
      <c r="A14" s="148" t="s">
        <v>274</v>
      </c>
      <c r="B14" s="96" t="s">
        <v>215</v>
      </c>
      <c r="C14" s="96" t="s">
        <v>224</v>
      </c>
      <c r="D14" s="200">
        <f>'пр.11 2021-2022г'!G74</f>
        <v>11223.57</v>
      </c>
      <c r="E14" s="200" t="e">
        <f>#REF!+#REF!+#REF!+#REF!</f>
        <v>#REF!</v>
      </c>
      <c r="F14" s="200">
        <f>'пр.11 2021-2022г'!H74</f>
        <v>11223.57</v>
      </c>
      <c r="I14" s="417"/>
      <c r="J14" s="417"/>
    </row>
    <row r="15" spans="1:10" ht="30.75" customHeight="1">
      <c r="A15" s="76" t="s">
        <v>150</v>
      </c>
      <c r="B15" s="96" t="s">
        <v>215</v>
      </c>
      <c r="C15" s="96" t="s">
        <v>225</v>
      </c>
      <c r="D15" s="200">
        <f>'пр.11 2021-2022г'!G88</f>
        <v>171.20000000000002</v>
      </c>
      <c r="E15" s="112" t="e">
        <f>#REF!</f>
        <v>#REF!</v>
      </c>
      <c r="F15" s="200">
        <f>'пр.11 2021-2022г'!H88</f>
        <v>9.6999999999999993</v>
      </c>
    </row>
    <row r="16" spans="1:10" s="71" customFormat="1" ht="31.5">
      <c r="A16" s="148" t="s">
        <v>159</v>
      </c>
      <c r="B16" s="96" t="s">
        <v>215</v>
      </c>
      <c r="C16" s="96" t="s">
        <v>221</v>
      </c>
      <c r="D16" s="149">
        <f>'пр.11 2021-2022г'!G27+'пр.11 2021-2022г'!G40</f>
        <v>8988.4165000000012</v>
      </c>
      <c r="E16" s="149" t="e">
        <f>#REF!+#REF!+#REF!+#REF!</f>
        <v>#REF!</v>
      </c>
      <c r="F16" s="149">
        <f>'пр.11 2021-2022г'!H27+'пр.11 2021-2022г'!H40</f>
        <v>7972.8225000000002</v>
      </c>
      <c r="G16" s="197"/>
      <c r="H16" s="197"/>
    </row>
    <row r="17" spans="1:10" s="71" customFormat="1">
      <c r="A17" s="148" t="s">
        <v>233</v>
      </c>
      <c r="B17" s="96" t="s">
        <v>215</v>
      </c>
      <c r="C17" s="96" t="s">
        <v>223</v>
      </c>
      <c r="D17" s="200">
        <f>'пр.11 2021-2022г'!G91</f>
        <v>500</v>
      </c>
      <c r="E17" s="112" t="e">
        <f>#REF!</f>
        <v>#REF!</v>
      </c>
      <c r="F17" s="200">
        <f>'пр.11 2021-2022г'!H91</f>
        <v>500</v>
      </c>
    </row>
    <row r="18" spans="1:10" s="71" customFormat="1">
      <c r="A18" s="164" t="s">
        <v>230</v>
      </c>
      <c r="B18" s="150" t="s">
        <v>215</v>
      </c>
      <c r="C18" s="150" t="s">
        <v>241</v>
      </c>
      <c r="D18" s="149">
        <f>'пр.11 2021-2022г'!G94</f>
        <v>34058.557999999997</v>
      </c>
      <c r="E18" s="149" t="e">
        <f>#REF!+#REF!</f>
        <v>#REF!</v>
      </c>
      <c r="F18" s="149">
        <f>'пр.11 2021-2022г'!H94</f>
        <v>34058.557999999997</v>
      </c>
      <c r="H18" s="197"/>
      <c r="I18" s="417"/>
      <c r="J18" s="417"/>
    </row>
    <row r="19" spans="1:10" s="71" customFormat="1" ht="31.5">
      <c r="A19" s="73" t="s">
        <v>67</v>
      </c>
      <c r="B19" s="103" t="s">
        <v>218</v>
      </c>
      <c r="C19" s="103"/>
      <c r="D19" s="104">
        <f>D20</f>
        <v>200</v>
      </c>
      <c r="E19" s="104" t="e">
        <f t="shared" ref="E19:F19" si="1">E20</f>
        <v>#REF!</v>
      </c>
      <c r="F19" s="104">
        <f t="shared" si="1"/>
        <v>200</v>
      </c>
      <c r="H19" s="197"/>
      <c r="I19" s="417"/>
      <c r="J19" s="417"/>
    </row>
    <row r="20" spans="1:10" s="71" customFormat="1" ht="31.5">
      <c r="A20" s="148" t="s">
        <v>235</v>
      </c>
      <c r="B20" s="96" t="s">
        <v>218</v>
      </c>
      <c r="C20" s="96" t="s">
        <v>219</v>
      </c>
      <c r="D20" s="200">
        <f>'пр.11 2021-2022г'!G119</f>
        <v>200</v>
      </c>
      <c r="E20" s="200" t="e">
        <f>#REF!+#REF!</f>
        <v>#REF!</v>
      </c>
      <c r="F20" s="200">
        <f>'пр.11 2021-2022г'!H119</f>
        <v>200</v>
      </c>
    </row>
    <row r="21" spans="1:10" s="78" customFormat="1">
      <c r="A21" s="73" t="s">
        <v>68</v>
      </c>
      <c r="B21" s="103" t="s">
        <v>224</v>
      </c>
      <c r="C21" s="103"/>
      <c r="D21" s="104">
        <f>D22+D23+D24</f>
        <v>75456</v>
      </c>
      <c r="E21" s="104" t="e">
        <f>E22+E23+E24</f>
        <v>#REF!</v>
      </c>
      <c r="F21" s="104">
        <f>F22+F23+F24</f>
        <v>29011.804089999998</v>
      </c>
      <c r="I21" s="438"/>
    </row>
    <row r="22" spans="1:10" s="71" customFormat="1">
      <c r="A22" s="148" t="s">
        <v>232</v>
      </c>
      <c r="B22" s="96" t="s">
        <v>224</v>
      </c>
      <c r="C22" s="96" t="s">
        <v>225</v>
      </c>
      <c r="D22" s="200">
        <f>'пр.11 2021-2022г'!G126</f>
        <v>2771.5999999999995</v>
      </c>
      <c r="E22" s="200" t="e">
        <f>#REF!+#REF!</f>
        <v>#REF!</v>
      </c>
      <c r="F22" s="200">
        <f>'пр.11 2021-2022г'!H126</f>
        <v>2002.3219699999997</v>
      </c>
    </row>
    <row r="23" spans="1:10" ht="31.5">
      <c r="A23" s="76" t="s">
        <v>384</v>
      </c>
      <c r="B23" s="150" t="s">
        <v>224</v>
      </c>
      <c r="C23" s="150" t="s">
        <v>219</v>
      </c>
      <c r="D23" s="200">
        <f>'пр.11 2021-2022г'!G142+'пр.11 2021-2022г'!G446</f>
        <v>58560.100000000006</v>
      </c>
      <c r="E23" s="200" t="e">
        <f>#REF!+#REF!+#REF!+#REF!</f>
        <v>#REF!</v>
      </c>
      <c r="F23" s="200">
        <f>'пр.11 2021-2022г'!H142+'пр.11 2021-2022г'!H446</f>
        <v>13938</v>
      </c>
    </row>
    <row r="24" spans="1:10" s="71" customFormat="1">
      <c r="A24" s="148" t="s">
        <v>57</v>
      </c>
      <c r="B24" s="96" t="s">
        <v>224</v>
      </c>
      <c r="C24" s="96" t="s">
        <v>222</v>
      </c>
      <c r="D24" s="200">
        <f>'пр.11 2021-2022г'!G146+'пр.11 2021-2022г'!G457</f>
        <v>14124.3</v>
      </c>
      <c r="E24" s="200" t="e">
        <f>#REF!+#REF!+#REF!+#REF!+#REF!+#REF!</f>
        <v>#REF!</v>
      </c>
      <c r="F24" s="200">
        <f>'пр.11 2021-2022г'!H457+'пр.11 2021-2022г'!H146</f>
        <v>13071.482119999999</v>
      </c>
      <c r="J24" s="417"/>
    </row>
    <row r="25" spans="1:10" s="78" customFormat="1">
      <c r="A25" s="73" t="s">
        <v>69</v>
      </c>
      <c r="B25" s="103" t="s">
        <v>225</v>
      </c>
      <c r="C25" s="103"/>
      <c r="D25" s="104">
        <f>D26</f>
        <v>24367.64819</v>
      </c>
      <c r="E25" s="414" t="e">
        <f>E26</f>
        <v>#REF!</v>
      </c>
      <c r="F25" s="104">
        <f>F26</f>
        <v>25839.64819</v>
      </c>
    </row>
    <row r="26" spans="1:10" s="71" customFormat="1">
      <c r="A26" s="148" t="s">
        <v>54</v>
      </c>
      <c r="B26" s="96" t="s">
        <v>225</v>
      </c>
      <c r="C26" s="96" t="s">
        <v>225</v>
      </c>
      <c r="D26" s="200">
        <f>'пр.11 2021-2022г'!G466</f>
        <v>24367.64819</v>
      </c>
      <c r="E26" s="200" t="e">
        <f>#REF!+#REF!+#REF!</f>
        <v>#REF!</v>
      </c>
      <c r="F26" s="200">
        <f>'пр.11 2021-2022г'!H466</f>
        <v>25839.64819</v>
      </c>
    </row>
    <row r="27" spans="1:10" s="78" customFormat="1">
      <c r="A27" s="165" t="s">
        <v>191</v>
      </c>
      <c r="B27" s="103" t="s">
        <v>221</v>
      </c>
      <c r="C27" s="103"/>
      <c r="D27" s="104">
        <f>D28</f>
        <v>100</v>
      </c>
      <c r="E27" s="414" t="e">
        <f>#REF!</f>
        <v>#REF!</v>
      </c>
      <c r="F27" s="104">
        <f>F28</f>
        <v>100</v>
      </c>
    </row>
    <row r="28" spans="1:10" s="78" customFormat="1">
      <c r="A28" s="76" t="s">
        <v>192</v>
      </c>
      <c r="B28" s="96" t="s">
        <v>221</v>
      </c>
      <c r="C28" s="96" t="s">
        <v>216</v>
      </c>
      <c r="D28" s="109">
        <f>'пр.11 2021-2022г'!G155</f>
        <v>100</v>
      </c>
      <c r="E28" s="246"/>
      <c r="F28" s="714">
        <f>'пр.11 2021-2022г'!H155</f>
        <v>100</v>
      </c>
    </row>
    <row r="29" spans="1:10">
      <c r="A29" s="369" t="s">
        <v>70</v>
      </c>
      <c r="B29" s="370" t="s">
        <v>217</v>
      </c>
      <c r="C29" s="370"/>
      <c r="D29" s="388">
        <f>D30+D31+D32+D33+D34</f>
        <v>682753.64404999989</v>
      </c>
      <c r="E29" s="388" t="e">
        <f>E30+E31+E32+E33+E34</f>
        <v>#REF!</v>
      </c>
      <c r="F29" s="388">
        <f>F30+F31+F32+F33+F34</f>
        <v>681802.63205999997</v>
      </c>
      <c r="G29" s="198"/>
      <c r="H29" s="198"/>
      <c r="I29" s="412"/>
      <c r="J29" s="412"/>
    </row>
    <row r="30" spans="1:10">
      <c r="A30" s="148" t="s">
        <v>407</v>
      </c>
      <c r="B30" s="96" t="s">
        <v>217</v>
      </c>
      <c r="C30" s="96" t="s">
        <v>215</v>
      </c>
      <c r="D30" s="149">
        <f>'пр.11 2021-2022г'!G270</f>
        <v>109286.03624</v>
      </c>
      <c r="E30" s="149" t="e">
        <f>#REF!+#REF!</f>
        <v>#REF!</v>
      </c>
      <c r="F30" s="149">
        <f>'пр.11 2021-2022г'!H270</f>
        <v>109654.60623999999</v>
      </c>
      <c r="H30" s="412"/>
    </row>
    <row r="31" spans="1:10">
      <c r="A31" s="148" t="s">
        <v>262</v>
      </c>
      <c r="B31" s="96" t="s">
        <v>217</v>
      </c>
      <c r="C31" s="96" t="s">
        <v>216</v>
      </c>
      <c r="D31" s="149">
        <f>'пр.11 2021-2022г'!G290</f>
        <v>475865.82180999994</v>
      </c>
      <c r="E31" s="149" t="e">
        <f>#REF!+#REF!+#REF!</f>
        <v>#REF!</v>
      </c>
      <c r="F31" s="149">
        <f>'пр.11 2021-2022г'!H290</f>
        <v>474896.53981999995</v>
      </c>
      <c r="G31" s="198"/>
      <c r="H31" s="198"/>
    </row>
    <row r="32" spans="1:10">
      <c r="A32" s="724" t="s">
        <v>517</v>
      </c>
      <c r="B32" s="150" t="s">
        <v>217</v>
      </c>
      <c r="C32" s="150" t="s">
        <v>218</v>
      </c>
      <c r="D32" s="149">
        <f>'пр.11 2021-2022г'!G333+'пр.11 2021-2022г'!G160</f>
        <v>31888.352000000003</v>
      </c>
      <c r="E32" s="149" t="e">
        <f>#REF!+#REF!+#REF!+#REF!+#REF!</f>
        <v>#REF!</v>
      </c>
      <c r="F32" s="149">
        <f>'пр.11 2021-2022г'!H333+'пр.11 2021-2022г'!H160</f>
        <v>31888.352000000003</v>
      </c>
    </row>
    <row r="33" spans="1:10" ht="18.75" customHeight="1">
      <c r="A33" s="148" t="s">
        <v>401</v>
      </c>
      <c r="B33" s="96" t="s">
        <v>217</v>
      </c>
      <c r="C33" s="96" t="s">
        <v>217</v>
      </c>
      <c r="D33" s="200">
        <f>'пр.11 2021-2022г'!G169+'пр.11 2021-2022г'!G354</f>
        <v>8553.8340000000007</v>
      </c>
      <c r="E33" s="200" t="e">
        <f>#REF!+#REF!+#REF!+#REF!</f>
        <v>#REF!</v>
      </c>
      <c r="F33" s="200">
        <f>'пр.11 2021-2022г'!H169+'пр.11 2021-2022г'!H354</f>
        <v>8553.8340000000007</v>
      </c>
      <c r="J33" s="412"/>
    </row>
    <row r="34" spans="1:10">
      <c r="A34" s="148" t="s">
        <v>409</v>
      </c>
      <c r="B34" s="96" t="s">
        <v>217</v>
      </c>
      <c r="C34" s="96" t="s">
        <v>219</v>
      </c>
      <c r="D34" s="200">
        <f>'пр.11 2021-2022г'!G377</f>
        <v>57159.6</v>
      </c>
      <c r="E34" s="200" t="e">
        <f>#REF!+#REF!+#REF!+#REF!+#REF!+#REF!+#REF!</f>
        <v>#REF!</v>
      </c>
      <c r="F34" s="200">
        <f>'пр.11 2021-2022г'!H377</f>
        <v>56809.3</v>
      </c>
      <c r="I34" s="412"/>
    </row>
    <row r="35" spans="1:10" s="75" customFormat="1">
      <c r="A35" s="252" t="s">
        <v>71</v>
      </c>
      <c r="B35" s="341" t="s">
        <v>226</v>
      </c>
      <c r="C35" s="341"/>
      <c r="D35" s="123">
        <f>D36</f>
        <v>44234.285000000003</v>
      </c>
      <c r="E35" s="123" t="e">
        <f t="shared" ref="E35:F35" si="2">E36</f>
        <v>#REF!</v>
      </c>
      <c r="F35" s="123">
        <f t="shared" si="2"/>
        <v>44234.285000000003</v>
      </c>
    </row>
    <row r="36" spans="1:10" ht="32.25" customHeight="1">
      <c r="A36" s="148" t="s">
        <v>406</v>
      </c>
      <c r="B36" s="96" t="s">
        <v>226</v>
      </c>
      <c r="C36" s="96" t="s">
        <v>215</v>
      </c>
      <c r="D36" s="200">
        <f>'пр.11 2021-2022г'!G175</f>
        <v>44234.285000000003</v>
      </c>
      <c r="E36" s="200" t="e">
        <f>#REF!</f>
        <v>#REF!</v>
      </c>
      <c r="F36" s="200">
        <f>'пр.11 2021-2022г'!H175</f>
        <v>44234.285000000003</v>
      </c>
      <c r="I36" s="412"/>
      <c r="J36" s="412"/>
    </row>
    <row r="37" spans="1:10">
      <c r="A37" s="73" t="s">
        <v>72</v>
      </c>
      <c r="B37" s="103" t="s">
        <v>220</v>
      </c>
      <c r="C37" s="103"/>
      <c r="D37" s="104">
        <f>D38+D39+D40</f>
        <v>14285.467909999999</v>
      </c>
      <c r="E37" s="104" t="e">
        <f>E38+E39+E40</f>
        <v>#REF!</v>
      </c>
      <c r="F37" s="104">
        <f>F38+F39+F40</f>
        <v>14397.467909999999</v>
      </c>
    </row>
    <row r="38" spans="1:10">
      <c r="A38" s="148" t="s">
        <v>231</v>
      </c>
      <c r="B38" s="96" t="s">
        <v>220</v>
      </c>
      <c r="C38" s="96" t="s">
        <v>215</v>
      </c>
      <c r="D38" s="200">
        <f>'пр.11 2021-2022г'!G188</f>
        <v>4610.5679099999998</v>
      </c>
      <c r="E38" s="112" t="e">
        <f>#REF!</f>
        <v>#REF!</v>
      </c>
      <c r="F38" s="200">
        <f>'пр.11 2021-2022г'!H188</f>
        <v>4610.5679099999998</v>
      </c>
    </row>
    <row r="39" spans="1:10">
      <c r="A39" s="148" t="s">
        <v>403</v>
      </c>
      <c r="B39" s="96" t="s">
        <v>220</v>
      </c>
      <c r="C39" s="96" t="s">
        <v>218</v>
      </c>
      <c r="D39" s="200">
        <f>'пр.11 2021-2022г'!G189+'пр.11 2021-2022г'!G432</f>
        <v>6987.5</v>
      </c>
      <c r="E39" s="200" t="e">
        <f>#REF!+#REF!+#REF!+#REF!+#REF!</f>
        <v>#REF!</v>
      </c>
      <c r="F39" s="200">
        <f>'пр.11 2021-2022г'!H189+'пр.11 2021-2022г'!H432</f>
        <v>7099.5</v>
      </c>
    </row>
    <row r="40" spans="1:10">
      <c r="A40" s="148" t="s">
        <v>404</v>
      </c>
      <c r="B40" s="96" t="s">
        <v>220</v>
      </c>
      <c r="C40" s="96" t="s">
        <v>221</v>
      </c>
      <c r="D40" s="200">
        <f>'пр.11 2021-2022г'!G208</f>
        <v>2687.3999999999996</v>
      </c>
      <c r="E40" s="112" t="e">
        <f>#REF!</f>
        <v>#REF!</v>
      </c>
      <c r="F40" s="200">
        <f>'пр.11 2021-2022г'!H208</f>
        <v>2687.3999999999996</v>
      </c>
    </row>
    <row r="41" spans="1:10">
      <c r="A41" s="73" t="s">
        <v>73</v>
      </c>
      <c r="B41" s="103" t="s">
        <v>223</v>
      </c>
      <c r="C41" s="103"/>
      <c r="D41" s="104">
        <f>D42+D43+D44</f>
        <v>17663.009859999998</v>
      </c>
      <c r="E41" s="104" t="e">
        <f t="shared" ref="E41:F41" si="3">E42+E43+E44</f>
        <v>#REF!</v>
      </c>
      <c r="F41" s="104">
        <f t="shared" si="3"/>
        <v>17663.009859999998</v>
      </c>
    </row>
    <row r="42" spans="1:10">
      <c r="A42" s="148" t="s">
        <v>74</v>
      </c>
      <c r="B42" s="96" t="s">
        <v>223</v>
      </c>
      <c r="C42" s="96" t="s">
        <v>215</v>
      </c>
      <c r="D42" s="200">
        <f>'пр.11 2021-2022г'!G219</f>
        <v>300</v>
      </c>
      <c r="E42" s="200" t="e">
        <f>#REF!+#REF!+#REF!</f>
        <v>#REF!</v>
      </c>
      <c r="F42" s="200">
        <f>'пр.11 2021-2022г'!H219</f>
        <v>300</v>
      </c>
    </row>
    <row r="43" spans="1:10">
      <c r="A43" s="148" t="s">
        <v>261</v>
      </c>
      <c r="B43" s="96" t="s">
        <v>223</v>
      </c>
      <c r="C43" s="96" t="s">
        <v>216</v>
      </c>
      <c r="D43" s="200">
        <f>'пр.11 2021-2022г'!G224</f>
        <v>1559.92</v>
      </c>
      <c r="E43" s="112" t="e">
        <f>#REF!+#REF!</f>
        <v>#REF!</v>
      </c>
      <c r="F43" s="200">
        <f>'пр.11 2021-2022г'!H224</f>
        <v>1559.92</v>
      </c>
    </row>
    <row r="44" spans="1:10" s="71" customFormat="1">
      <c r="A44" s="723" t="s">
        <v>819</v>
      </c>
      <c r="B44" s="96" t="s">
        <v>223</v>
      </c>
      <c r="C44" s="96" t="s">
        <v>218</v>
      </c>
      <c r="D44" s="200">
        <f>'пр.11 2021-2022г'!G231</f>
        <v>15803.08986</v>
      </c>
      <c r="E44" s="112"/>
      <c r="F44" s="200">
        <f>'пр.11 2021-2022г'!H231</f>
        <v>15803.08986</v>
      </c>
    </row>
    <row r="45" spans="1:10" s="75" customFormat="1">
      <c r="A45" s="73" t="s">
        <v>75</v>
      </c>
      <c r="B45" s="103" t="s">
        <v>222</v>
      </c>
      <c r="C45" s="103"/>
      <c r="D45" s="104">
        <f t="shared" ref="D45:F45" si="4">D46</f>
        <v>700</v>
      </c>
      <c r="E45" s="414" t="e">
        <f t="shared" si="4"/>
        <v>#REF!</v>
      </c>
      <c r="F45" s="104">
        <f t="shared" si="4"/>
        <v>700</v>
      </c>
    </row>
    <row r="46" spans="1:10" s="75" customFormat="1">
      <c r="A46" s="148" t="s">
        <v>240</v>
      </c>
      <c r="B46" s="96" t="s">
        <v>222</v>
      </c>
      <c r="C46" s="96" t="s">
        <v>216</v>
      </c>
      <c r="D46" s="200">
        <f>'пр.11 2021-2022г'!G240</f>
        <v>700</v>
      </c>
      <c r="E46" s="200" t="e">
        <f>#REF!</f>
        <v>#REF!</v>
      </c>
      <c r="F46" s="200">
        <f>'пр.11 2021-2022г'!H240</f>
        <v>700</v>
      </c>
    </row>
    <row r="47" spans="1:10" ht="47.25">
      <c r="A47" s="252" t="s">
        <v>76</v>
      </c>
      <c r="B47" s="253" t="s">
        <v>228</v>
      </c>
      <c r="C47" s="253"/>
      <c r="D47" s="123">
        <f>D48+D49</f>
        <v>35753.300490000001</v>
      </c>
      <c r="E47" s="123" t="e">
        <f>E48+E49</f>
        <v>#REF!</v>
      </c>
      <c r="F47" s="123">
        <f>F48+F49</f>
        <v>35665.889889999999</v>
      </c>
    </row>
    <row r="48" spans="1:10" ht="31.5">
      <c r="A48" s="242" t="s">
        <v>77</v>
      </c>
      <c r="B48" s="150" t="s">
        <v>228</v>
      </c>
      <c r="C48" s="150" t="s">
        <v>215</v>
      </c>
      <c r="D48" s="149">
        <f>'пр.11 2021-2022г'!G53</f>
        <v>92</v>
      </c>
      <c r="E48" s="149" t="e">
        <f>#REF!</f>
        <v>#REF!</v>
      </c>
      <c r="F48" s="149">
        <f>'пр.11 2021-2022г'!H53</f>
        <v>95.7</v>
      </c>
    </row>
    <row r="49" spans="1:9" s="71" customFormat="1">
      <c r="A49" s="242" t="s">
        <v>78</v>
      </c>
      <c r="B49" s="150" t="s">
        <v>228</v>
      </c>
      <c r="C49" s="150" t="s">
        <v>218</v>
      </c>
      <c r="D49" s="149">
        <f>'пр.11 2021-2022г'!G61+'пр.11 2021-2022г'!G246</f>
        <v>35661.300490000001</v>
      </c>
      <c r="E49" s="149" t="e">
        <f>#REF!+#REF!+#REF!+#REF!+#REF!</f>
        <v>#REF!</v>
      </c>
      <c r="F49" s="149">
        <f>'пр.11 2021-2022г'!H61+'пр.11 2021-2022г'!H246</f>
        <v>35570.189890000001</v>
      </c>
      <c r="I49" s="417"/>
    </row>
    <row r="50" spans="1:9" s="75" customFormat="1">
      <c r="A50" s="640" t="s">
        <v>466</v>
      </c>
      <c r="B50" s="150" t="s">
        <v>465</v>
      </c>
      <c r="C50" s="150" t="s">
        <v>465</v>
      </c>
      <c r="D50" s="149">
        <f>D51</f>
        <v>7111.3425000000007</v>
      </c>
      <c r="E50" s="112"/>
      <c r="F50" s="149">
        <f>F51</f>
        <v>14435.654999999999</v>
      </c>
    </row>
    <row r="51" spans="1:9" s="75" customFormat="1">
      <c r="A51" s="377" t="s">
        <v>466</v>
      </c>
      <c r="B51" s="150" t="s">
        <v>465</v>
      </c>
      <c r="C51" s="150" t="s">
        <v>465</v>
      </c>
      <c r="D51" s="149">
        <f>D52</f>
        <v>7111.3425000000007</v>
      </c>
      <c r="E51" s="112"/>
      <c r="F51" s="149">
        <f>F52</f>
        <v>14435.654999999999</v>
      </c>
    </row>
    <row r="52" spans="1:9" s="75" customFormat="1">
      <c r="A52" s="377" t="s">
        <v>468</v>
      </c>
      <c r="B52" s="150" t="s">
        <v>465</v>
      </c>
      <c r="C52" s="150" t="s">
        <v>465</v>
      </c>
      <c r="D52" s="149">
        <f>D53</f>
        <v>7111.3425000000007</v>
      </c>
      <c r="E52" s="112"/>
      <c r="F52" s="149">
        <f>F53</f>
        <v>14435.654999999999</v>
      </c>
    </row>
    <row r="53" spans="1:9" s="75" customFormat="1">
      <c r="A53" s="377" t="s">
        <v>467</v>
      </c>
      <c r="B53" s="150" t="s">
        <v>465</v>
      </c>
      <c r="C53" s="150" t="s">
        <v>465</v>
      </c>
      <c r="D53" s="149">
        <f>D54</f>
        <v>7111.3425000000007</v>
      </c>
      <c r="E53" s="112"/>
      <c r="F53" s="149">
        <f>F54</f>
        <v>14435.654999999999</v>
      </c>
    </row>
    <row r="54" spans="1:9" s="75" customFormat="1">
      <c r="A54" s="377" t="s">
        <v>466</v>
      </c>
      <c r="B54" s="150" t="s">
        <v>465</v>
      </c>
      <c r="C54" s="150" t="s">
        <v>465</v>
      </c>
      <c r="D54" s="149">
        <f>'пр.11 2021-2022г'!G481</f>
        <v>7111.3425000000007</v>
      </c>
      <c r="E54" s="112"/>
      <c r="F54" s="149">
        <f>'пр.11 2021-2022г'!H481</f>
        <v>14435.654999999999</v>
      </c>
    </row>
    <row r="55" spans="1:9" s="75" customFormat="1">
      <c r="A55" s="368" t="s">
        <v>227</v>
      </c>
      <c r="B55" s="154"/>
      <c r="C55" s="154"/>
      <c r="D55" s="123">
        <f>D11+D19+D21+D25+D27+D29+D35+D37+D41+D45+D47+D50</f>
        <v>961519.1</v>
      </c>
      <c r="E55" s="123" t="e">
        <f>E11+E19+E21+E25+E27+E29+E35+E37+E41+E45+E47+E50</f>
        <v>#REF!</v>
      </c>
      <c r="F55" s="123">
        <f>F11+F19+F21+F25+F27+F29+F35+F37+F41+F45+F47+F50</f>
        <v>921767.70000000007</v>
      </c>
      <c r="H55" s="427"/>
    </row>
    <row r="56" spans="1:9" s="75" customFormat="1">
      <c r="A56" s="72"/>
      <c r="B56" s="70"/>
      <c r="C56" s="70"/>
      <c r="D56" s="85">
        <f>'пр.11 2021-2022г'!G482</f>
        <v>961519.1</v>
      </c>
      <c r="E56" s="393"/>
      <c r="F56" s="85">
        <f>'пр.11 2021-2022г'!H482</f>
        <v>921767.70000000007</v>
      </c>
    </row>
    <row r="57" spans="1:9" s="75" customFormat="1">
      <c r="A57" s="72"/>
      <c r="B57" s="70"/>
      <c r="C57" s="70"/>
      <c r="D57" s="85">
        <f>D56-D55</f>
        <v>0</v>
      </c>
      <c r="E57" s="393">
        <f>'[1]пр. 7'!H758</f>
        <v>388583.76954000001</v>
      </c>
      <c r="F57" s="85">
        <f>F56-F55</f>
        <v>0</v>
      </c>
    </row>
    <row r="58" spans="1:9" s="75" customFormat="1">
      <c r="A58" s="72"/>
      <c r="B58" s="70"/>
      <c r="C58" s="70"/>
      <c r="D58" s="85"/>
      <c r="E58" s="393"/>
      <c r="F58" s="85"/>
    </row>
    <row r="59" spans="1:9" s="75" customFormat="1">
      <c r="A59" s="72"/>
      <c r="B59" s="70"/>
      <c r="C59" s="70"/>
      <c r="D59" s="85">
        <f>D55-D56</f>
        <v>0</v>
      </c>
      <c r="E59" s="85" t="e">
        <f>E57-E55</f>
        <v>#REF!</v>
      </c>
      <c r="F59" s="85">
        <f>F55-F56</f>
        <v>0</v>
      </c>
    </row>
    <row r="60" spans="1:9" s="75" customFormat="1">
      <c r="A60" s="72"/>
      <c r="B60" s="70"/>
      <c r="C60" s="70"/>
      <c r="D60" s="85"/>
      <c r="E60" s="85"/>
      <c r="F60" s="85"/>
    </row>
    <row r="61" spans="1:9" s="75" customFormat="1">
      <c r="A61" s="72"/>
      <c r="B61" s="70"/>
      <c r="C61" s="70"/>
      <c r="D61" s="85"/>
      <c r="E61" s="393"/>
      <c r="F61" s="85"/>
    </row>
  </sheetData>
  <autoFilter ref="A11:F57"/>
  <mergeCells count="2">
    <mergeCell ref="D7:F7"/>
    <mergeCell ref="A8:D8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21</vt:i4>
      </vt:variant>
    </vt:vector>
  </HeadingPairs>
  <TitlesOfParts>
    <vt:vector size="42" baseType="lpstr">
      <vt:lpstr>пр.1</vt:lpstr>
      <vt:lpstr>пр.2</vt:lpstr>
      <vt:lpstr>пр.3</vt:lpstr>
      <vt:lpstr>пр.4</vt:lpstr>
      <vt:lpstr>пр.5</vt:lpstr>
      <vt:lpstr>пр.6 </vt:lpstr>
      <vt:lpstr>пр.7</vt:lpstr>
      <vt:lpstr>пр.8 2020г</vt:lpstr>
      <vt:lpstr>пр.9 2021-2022г</vt:lpstr>
      <vt:lpstr>пр. 10 2020г</vt:lpstr>
      <vt:lpstr>пр.11 2021-2022г</vt:lpstr>
      <vt:lpstr>пр.12 2021г</vt:lpstr>
      <vt:lpstr>пр.13 2022-2023г</vt:lpstr>
      <vt:lpstr>пр.14 2021г</vt:lpstr>
      <vt:lpstr>пр.15 2022-2023г</vt:lpstr>
      <vt:lpstr>пр.17 2021г</vt:lpstr>
      <vt:lpstr>пр.18 2022-2023г</vt:lpstr>
      <vt:lpstr>пр.21 2021г</vt:lpstr>
      <vt:lpstr>пр.22  2022-2023</vt:lpstr>
      <vt:lpstr>пр23 2021г</vt:lpstr>
      <vt:lpstr>пр24 2022-23</vt:lpstr>
      <vt:lpstr>'пр. 10 2020г'!Заголовки_для_печати</vt:lpstr>
      <vt:lpstr>пр.1!Заголовки_для_печати</vt:lpstr>
      <vt:lpstr>пр.2!Заголовки_для_печати</vt:lpstr>
      <vt:lpstr>пр.3!Заголовки_для_печати</vt:lpstr>
      <vt:lpstr>'пр. 10 2020г'!Область_печати</vt:lpstr>
      <vt:lpstr>'пр.11 2021-2022г'!Область_печати</vt:lpstr>
      <vt:lpstr>'пр.12 2021г'!Область_печати</vt:lpstr>
      <vt:lpstr>'пр.13 2022-2023г'!Область_печати</vt:lpstr>
      <vt:lpstr>'пр.14 2021г'!Область_печати</vt:lpstr>
      <vt:lpstr>'пр.15 2022-2023г'!Область_печати</vt:lpstr>
      <vt:lpstr>пр.2!Область_печати</vt:lpstr>
      <vt:lpstr>'пр.21 2021г'!Область_печати</vt:lpstr>
      <vt:lpstr>'пр.22  2022-2023'!Область_печати</vt:lpstr>
      <vt:lpstr>пр.3!Область_печати</vt:lpstr>
      <vt:lpstr>пр.4!Область_печати</vt:lpstr>
      <vt:lpstr>пр.5!Область_печати</vt:lpstr>
      <vt:lpstr>'пр.6 '!Область_печати</vt:lpstr>
      <vt:lpstr>пр.7!Область_печати</vt:lpstr>
      <vt:lpstr>'пр.8 2020г'!Область_печати</vt:lpstr>
      <vt:lpstr>'пр.9 2021-2022г'!Область_печати</vt:lpstr>
      <vt:lpstr>'пр23 2021г'!Область_печати</vt:lpstr>
    </vt:vector>
  </TitlesOfParts>
  <Company>Финансовое управление по Мухоршибирскому району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2020-12-26T00:29:24Z</cp:lastPrinted>
  <dcterms:created xsi:type="dcterms:W3CDTF">2007-02-01T06:35:05Z</dcterms:created>
  <dcterms:modified xsi:type="dcterms:W3CDTF">2020-12-26T00:29:55Z</dcterms:modified>
</cp:coreProperties>
</file>